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35" windowHeight="11400" tabRatio="617"/>
  </bookViews>
  <sheets>
    <sheet name="近期投资汇总表" sheetId="1" r:id="rId1"/>
    <sheet name="花湖一期一阶段设备表" sheetId="17" r:id="rId2"/>
    <sheet name="投资估算表-一期工程 (2)" sheetId="4" state="hidden" r:id="rId3"/>
    <sheet name="投资估算表-二期工程 (2)" sheetId="5" state="hidden" r:id="rId4"/>
    <sheet name="花湖污水厂金额汇总" sheetId="9" state="hidden" r:id="rId5"/>
  </sheets>
  <externalReferences>
    <externalReference r:id="rId6"/>
  </externalReferences>
  <definedNames>
    <definedName name="_xlnm._FilterDatabase" localSheetId="2" hidden="1">'投资估算表-一期工程 (2)'!$C$1:$C$409</definedName>
    <definedName name="_xlnm._FilterDatabase" localSheetId="3" hidden="1">'投资估算表-二期工程 (2)'!$C$1:$C$337</definedName>
    <definedName name="_xlnm._FilterDatabase" localSheetId="1" hidden="1">花湖一期一阶段设备表!$B$13:$B$135</definedName>
    <definedName name="_xlnm._FilterDatabase" localSheetId="0" hidden="1">近期投资汇总表!$A$4:$U$70</definedName>
    <definedName name="_Hlk488607410" localSheetId="1">花湖一期一阶段设备表!$A$25</definedName>
    <definedName name="_Hlk488608345" localSheetId="1">花湖一期一阶段设备表!#REF!</definedName>
    <definedName name="_xlnm.Print_Area" localSheetId="0">近期投资汇总表!$A$1:$K$69</definedName>
    <definedName name="_xlnm.Print_Titles" localSheetId="0">近期投资汇总表!$3:$4</definedName>
  </definedNames>
  <calcPr calcId="144525"/>
</workbook>
</file>

<file path=xl/comments1.xml><?xml version="1.0" encoding="utf-8"?>
<comments xmlns="http://schemas.openxmlformats.org/spreadsheetml/2006/main">
  <authors>
    <author>mrgao</author>
  </authors>
  <commentList>
    <comment ref="P235" authorId="0">
      <text>
        <r>
          <rPr>
            <b/>
            <sz val="9"/>
            <rFont val="宋体"/>
            <charset val="134"/>
          </rPr>
          <t>mrgao:</t>
        </r>
        <r>
          <rPr>
            <sz val="9"/>
            <rFont val="宋体"/>
            <charset val="134"/>
          </rPr>
          <t xml:space="preserve">
（支护+降排水+地基处理）
</t>
        </r>
      </text>
    </comment>
    <comment ref="R236" authorId="0">
      <text>
        <r>
          <rPr>
            <b/>
            <sz val="9"/>
            <rFont val="宋体"/>
            <charset val="134"/>
          </rPr>
          <t>mrgao:
井座井筒+井盖（爬梯）</t>
        </r>
      </text>
    </comment>
    <comment ref="R251" authorId="0">
      <text>
        <r>
          <rPr>
            <b/>
            <sz val="9"/>
            <rFont val="宋体"/>
            <charset val="134"/>
          </rPr>
          <t>mrgao:
井座井筒+井盖（爬梯）</t>
        </r>
      </text>
    </comment>
  </commentList>
</comments>
</file>

<file path=xl/sharedStrings.xml><?xml version="1.0" encoding="utf-8"?>
<sst xmlns="http://schemas.openxmlformats.org/spreadsheetml/2006/main" count="2985" uniqueCount="1280">
  <si>
    <t>附件：</t>
  </si>
  <si>
    <t>鄂州市花湖开发区花湖污水处理厂工程初步设计概算审定表</t>
  </si>
  <si>
    <t>序号</t>
  </si>
  <si>
    <t>工程及项目名称</t>
  </si>
  <si>
    <t>概算金额（万元）</t>
  </si>
  <si>
    <t>单位</t>
  </si>
  <si>
    <t>工程量</t>
  </si>
  <si>
    <t>单位价值（元）</t>
  </si>
  <si>
    <t>备注</t>
  </si>
  <si>
    <t>建筑工程费</t>
  </si>
  <si>
    <t>设备购置费</t>
  </si>
  <si>
    <t>安装工程费</t>
  </si>
  <si>
    <t>其他费用</t>
  </si>
  <si>
    <t>总计</t>
  </si>
  <si>
    <t>一</t>
  </si>
  <si>
    <t>工程费用</t>
  </si>
  <si>
    <r>
      <rPr>
        <b/>
        <sz val="10"/>
        <rFont val="Times New Roman"/>
        <charset val="134"/>
      </rPr>
      <t>m</t>
    </r>
    <r>
      <rPr>
        <b/>
        <vertAlign val="superscript"/>
        <sz val="10"/>
        <rFont val="Times New Roman"/>
        <charset val="134"/>
      </rPr>
      <t>3</t>
    </r>
    <r>
      <rPr>
        <b/>
        <sz val="10"/>
        <rFont val="Times New Roman"/>
        <charset val="134"/>
      </rPr>
      <t>/d</t>
    </r>
  </si>
  <si>
    <t>土建规模见单体备注，设备1万m3/d</t>
  </si>
  <si>
    <t>1</t>
  </si>
  <si>
    <t>总图工程</t>
  </si>
  <si>
    <t>土石方工程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</si>
  <si>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</si>
  <si>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道路及广场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</si>
  <si>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</si>
  <si>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绿化工程</t>
  </si>
  <si>
    <t>篮球场</t>
  </si>
  <si>
    <t>个</t>
  </si>
  <si>
    <t>护坡</t>
  </si>
  <si>
    <t>围墙</t>
  </si>
  <si>
    <t>m</t>
  </si>
  <si>
    <t>降排水</t>
  </si>
  <si>
    <t>桩基</t>
  </si>
  <si>
    <t>基坑支护</t>
  </si>
  <si>
    <t>出水口消能</t>
  </si>
  <si>
    <t>总图综合管线</t>
  </si>
  <si>
    <t>土建规模</t>
  </si>
  <si>
    <t>钢筋砼量</t>
  </si>
  <si>
    <t>挖填土量</t>
  </si>
  <si>
    <t>钢板桩支护12米</t>
  </si>
  <si>
    <r>
      <rPr>
        <sz val="10"/>
        <rFont val="宋体"/>
        <charset val="134"/>
      </rPr>
      <t>钢板桩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</t>
    </r>
  </si>
  <si>
    <t>2</t>
  </si>
  <si>
    <t>粗格栅及提升泵房</t>
  </si>
  <si>
    <t>m3</t>
  </si>
  <si>
    <r>
      <rPr>
        <sz val="9"/>
        <rFont val="宋体"/>
        <charset val="134"/>
      </rPr>
      <t>土建4万</t>
    </r>
    <r>
      <rPr>
        <sz val="9"/>
        <rFont val="宋体"/>
        <charset val="134"/>
      </rPr>
      <t>m3/d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</si>
  <si>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万</t>
    </r>
  </si>
  <si>
    <t>3</t>
  </si>
  <si>
    <t>细格栅及曝气沉砂池</t>
  </si>
  <si>
    <t>4</t>
  </si>
  <si>
    <t>改良多段AO生化池</t>
  </si>
  <si>
    <t>土建1万m3/d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</si>
  <si>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万</t>
    </r>
  </si>
  <si>
    <t>5</t>
  </si>
  <si>
    <t>圆形周进周出二沉池</t>
  </si>
  <si>
    <t>6</t>
  </si>
  <si>
    <t>二沉池配水井及污泥回流井</t>
  </si>
  <si>
    <t>7</t>
  </si>
  <si>
    <t>高效沉淀池</t>
  </si>
  <si>
    <t>土建2万m3/d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</si>
  <si>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万</t>
    </r>
  </si>
  <si>
    <t>8</t>
  </si>
  <si>
    <t>接触消毒池</t>
  </si>
  <si>
    <t>9</t>
  </si>
  <si>
    <t>出水计量渠</t>
  </si>
  <si>
    <t>10</t>
  </si>
  <si>
    <t>污泥储池</t>
  </si>
  <si>
    <t>11</t>
  </si>
  <si>
    <t>污泥脱水间</t>
  </si>
  <si>
    <t>12</t>
  </si>
  <si>
    <t>鼓风机房及变配电间</t>
  </si>
  <si>
    <t>13</t>
  </si>
  <si>
    <t>加氯加药间</t>
  </si>
  <si>
    <t>14</t>
  </si>
  <si>
    <t>综合楼</t>
  </si>
  <si>
    <t>15</t>
  </si>
  <si>
    <t>传达室及大门</t>
  </si>
  <si>
    <t>16</t>
  </si>
  <si>
    <t>闸门井</t>
  </si>
  <si>
    <t>17</t>
  </si>
  <si>
    <t>除臭系统</t>
  </si>
  <si>
    <t>18</t>
  </si>
  <si>
    <t>电气设备</t>
  </si>
  <si>
    <t>19</t>
  </si>
  <si>
    <t>自控设备</t>
  </si>
  <si>
    <t>20</t>
  </si>
  <si>
    <t>仪表设备</t>
  </si>
  <si>
    <t>21</t>
  </si>
  <si>
    <t>化验设备</t>
  </si>
  <si>
    <t>22</t>
  </si>
  <si>
    <t>生产车辆</t>
  </si>
  <si>
    <t>23</t>
  </si>
  <si>
    <t>工器具及生产家具购置费</t>
  </si>
  <si>
    <t>二</t>
  </si>
  <si>
    <t>工程建设其他费用</t>
  </si>
  <si>
    <t>征地费</t>
  </si>
  <si>
    <t>亩</t>
  </si>
  <si>
    <r>
      <rPr>
        <sz val="10"/>
        <rFont val="宋体"/>
        <charset val="134"/>
      </rPr>
      <t>建设单位管理费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</si>
  <si>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按财政部财建</t>
    </r>
    <r>
      <rPr>
        <sz val="10"/>
        <rFont val="Times New Roman"/>
        <charset val="134"/>
      </rPr>
      <t>[2016]504</t>
    </r>
    <r>
      <rPr>
        <sz val="10"/>
        <rFont val="宋体"/>
        <charset val="134"/>
      </rPr>
      <t>号文计算</t>
    </r>
  </si>
  <si>
    <t>建设工程监理费</t>
  </si>
  <si>
    <t>按监理合同约定费率计取</t>
  </si>
  <si>
    <t>建设项目前期工作咨询费</t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</si>
  <si>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1999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1283</t>
    </r>
    <r>
      <rPr>
        <sz val="10"/>
        <rFont val="宋体"/>
        <charset val="134"/>
      </rPr>
      <t>号文计算，按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折计取</t>
    </r>
  </si>
  <si>
    <t>工程勘察费</t>
  </si>
  <si>
    <r>
      <rPr>
        <sz val="10"/>
        <rFont val="宋体"/>
        <charset val="134"/>
      </rPr>
      <t>按第一部份工程费用的</t>
    </r>
    <r>
      <rPr>
        <sz val="10"/>
        <rFont val="Times New Roman"/>
        <charset val="134"/>
      </rPr>
      <t>1.1%</t>
    </r>
    <r>
      <rPr>
        <sz val="10"/>
        <rFont val="宋体"/>
        <charset val="134"/>
      </rPr>
      <t>计算</t>
    </r>
  </si>
  <si>
    <t>基本设计费</t>
  </si>
  <si>
    <t>按设计合同额计取</t>
  </si>
  <si>
    <t>其他设计费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</si>
  <si>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施工图预算编制费</t>
    </r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</si>
  <si>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号文计算，按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折计取</t>
    </r>
  </si>
  <si>
    <t>环境影响咨询服务费</t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</si>
  <si>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号文计算，按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折计取</t>
    </r>
  </si>
  <si>
    <t>场地准备费及临时设施费</t>
  </si>
  <si>
    <r>
      <rPr>
        <sz val="10"/>
        <rFont val="宋体"/>
        <charset val="134"/>
      </rPr>
      <t>按第一部份工程费用的</t>
    </r>
    <r>
      <rPr>
        <sz val="10"/>
        <rFont val="Times New Roman"/>
        <charset val="134"/>
      </rPr>
      <t>1%</t>
    </r>
    <r>
      <rPr>
        <sz val="10"/>
        <rFont val="宋体"/>
        <charset val="134"/>
      </rPr>
      <t>计算</t>
    </r>
  </si>
  <si>
    <r>
      <rPr>
        <sz val="10"/>
        <rFont val="宋体"/>
        <charset val="134"/>
      </rPr>
      <t>生产准备费</t>
    </r>
    <r>
      <rPr>
        <sz val="10"/>
        <rFont val="Times New Roman"/>
        <charset val="134"/>
      </rPr>
      <t xml:space="preserve">      </t>
    </r>
  </si>
  <si>
    <r>
      <rPr>
        <sz val="10"/>
        <rFont val="宋体"/>
        <charset val="134"/>
      </rPr>
      <t>按培训人员每人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元计算</t>
    </r>
  </si>
  <si>
    <r>
      <rPr>
        <sz val="10"/>
        <rFont val="宋体"/>
        <charset val="134"/>
      </rPr>
      <t>办公及生活家具购置费</t>
    </r>
    <r>
      <rPr>
        <sz val="10"/>
        <rFont val="Times New Roman"/>
        <charset val="134"/>
      </rPr>
      <t xml:space="preserve">    </t>
    </r>
  </si>
  <si>
    <r>
      <rPr>
        <sz val="10"/>
        <rFont val="宋体"/>
        <charset val="134"/>
      </rPr>
      <t>按设计定员的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元计算</t>
    </r>
  </si>
  <si>
    <t>联合试运转费</t>
  </si>
  <si>
    <r>
      <rPr>
        <sz val="10"/>
        <rFont val="宋体"/>
        <charset val="134"/>
      </rPr>
      <t>按设备费总值的</t>
    </r>
    <r>
      <rPr>
        <sz val="10"/>
        <rFont val="Times New Roman"/>
        <charset val="134"/>
      </rPr>
      <t>1%</t>
    </r>
    <r>
      <rPr>
        <sz val="10"/>
        <rFont val="宋体"/>
        <charset val="134"/>
      </rPr>
      <t>计算</t>
    </r>
  </si>
  <si>
    <t>全过程造价咨询服务费</t>
  </si>
  <si>
    <r>
      <rPr>
        <sz val="10"/>
        <rFont val="宋体"/>
        <charset val="134"/>
      </rPr>
      <t>按鄂价工服规</t>
    </r>
    <r>
      <rPr>
        <sz val="10"/>
        <rFont val="Times New Roman"/>
        <charset val="134"/>
      </rPr>
      <t>[2012]149</t>
    </r>
    <r>
      <rPr>
        <sz val="10"/>
        <rFont val="宋体"/>
        <charset val="134"/>
      </rPr>
      <t>号计算，按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折计取</t>
    </r>
  </si>
  <si>
    <t>施工图审查费</t>
  </si>
  <si>
    <r>
      <rPr>
        <sz val="10"/>
        <rFont val="宋体"/>
        <charset val="134"/>
      </rPr>
      <t>按鄂价房服</t>
    </r>
    <r>
      <rPr>
        <sz val="10"/>
        <rFont val="Times New Roman"/>
        <charset val="134"/>
      </rPr>
      <t xml:space="preserve">[2006]273 </t>
    </r>
    <r>
      <rPr>
        <sz val="10"/>
        <rFont val="宋体"/>
        <charset val="134"/>
      </rPr>
      <t>号计算</t>
    </r>
  </si>
  <si>
    <t>城市建设工程竣工档案整理综合服务费</t>
  </si>
  <si>
    <r>
      <rPr>
        <sz val="10"/>
        <rFont val="宋体"/>
        <charset val="134"/>
      </rPr>
      <t>按鄂价房服</t>
    </r>
    <r>
      <rPr>
        <sz val="10"/>
        <rFont val="Times New Roman"/>
        <charset val="134"/>
      </rPr>
      <t xml:space="preserve">[2004]286 </t>
    </r>
    <r>
      <rPr>
        <sz val="10"/>
        <rFont val="宋体"/>
        <charset val="134"/>
      </rPr>
      <t>号计算</t>
    </r>
  </si>
  <si>
    <t>水土保持咨询费</t>
  </si>
  <si>
    <t>暂估</t>
  </si>
  <si>
    <t>水土保持补偿费</t>
  </si>
  <si>
    <r>
      <rPr>
        <sz val="10"/>
        <rFont val="宋体"/>
        <charset val="134"/>
      </rPr>
      <t>按鄂价环资</t>
    </r>
    <r>
      <rPr>
        <sz val="10"/>
        <rFont val="Times New Roman"/>
        <charset val="134"/>
      </rPr>
      <t xml:space="preserve">[2015]100 </t>
    </r>
    <r>
      <rPr>
        <sz val="10"/>
        <rFont val="宋体"/>
        <charset val="134"/>
      </rPr>
      <t>号计算</t>
    </r>
  </si>
  <si>
    <t>外接供电</t>
  </si>
  <si>
    <t>外接供水</t>
  </si>
  <si>
    <t>排污口论证费</t>
  </si>
  <si>
    <t>桩基检测费</t>
  </si>
  <si>
    <t>材料检测费</t>
  </si>
  <si>
    <t>设备价格市场调查咨询费</t>
  </si>
  <si>
    <t>三</t>
  </si>
  <si>
    <r>
      <rPr>
        <b/>
        <sz val="10"/>
        <rFont val="宋体"/>
        <charset val="134"/>
      </rPr>
      <t>基本预备费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)*5%</t>
    </r>
  </si>
  <si>
    <t>四</t>
  </si>
  <si>
    <r>
      <rPr>
        <b/>
        <sz val="10"/>
        <rFont val="宋体"/>
        <charset val="134"/>
      </rPr>
      <t>建设投资（一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三）</t>
    </r>
  </si>
  <si>
    <t>五</t>
  </si>
  <si>
    <t>建设期贷款利息</t>
  </si>
  <si>
    <t>六</t>
  </si>
  <si>
    <t>铺底流动资金</t>
  </si>
  <si>
    <t>七</t>
  </si>
  <si>
    <t>建设项目总投资</t>
  </si>
  <si>
    <t>花湖污水处理厂一期一阶段设备清单</t>
  </si>
  <si>
    <t>名称</t>
  </si>
  <si>
    <t>总价（万元）</t>
  </si>
  <si>
    <t>工艺设备</t>
  </si>
  <si>
    <t>车辆设备</t>
  </si>
  <si>
    <t>合计</t>
  </si>
  <si>
    <r>
      <rPr>
        <b/>
        <sz val="10"/>
        <rFont val="宋体"/>
        <charset val="134"/>
      </rPr>
      <t>序号</t>
    </r>
  </si>
  <si>
    <t>设备名称</t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</si>
  <si>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</si>
  <si>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</si>
  <si>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</si>
  <si>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单价
（万元）</t>
    </r>
  </si>
  <si>
    <r>
      <rPr>
        <b/>
        <sz val="10"/>
        <rFont val="宋体"/>
        <charset val="134"/>
      </rPr>
      <t>总价
（万元）</t>
    </r>
  </si>
  <si>
    <r>
      <rPr>
        <b/>
        <sz val="10"/>
        <rFont val="宋体"/>
        <charset val="134"/>
      </rPr>
      <t>备注</t>
    </r>
  </si>
  <si>
    <r>
      <rPr>
        <sz val="10"/>
        <rFont val="宋体"/>
        <charset val="134"/>
      </rPr>
      <t>一、粗格栅及提升泵池</t>
    </r>
  </si>
  <si>
    <r>
      <rPr>
        <sz val="10"/>
        <rFont val="宋体"/>
        <charset val="134"/>
      </rPr>
      <t>铸铁镶铜方闸门（格栅前）</t>
    </r>
  </si>
  <si>
    <r>
      <rPr>
        <sz val="10"/>
        <rFont val="宋体"/>
        <charset val="134"/>
      </rPr>
      <t>渠深</t>
    </r>
    <r>
      <rPr>
        <sz val="10"/>
        <rFont val="Times New Roman"/>
        <charset val="134"/>
      </rPr>
      <t>11.5m</t>
    </r>
    <r>
      <rPr>
        <sz val="10"/>
        <rFont val="宋体"/>
        <charset val="134"/>
      </rPr>
      <t>，渠宽</t>
    </r>
    <r>
      <rPr>
        <sz val="10"/>
        <rFont val="Times New Roman"/>
        <charset val="134"/>
      </rPr>
      <t>0.9m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B×H=600×800</t>
    </r>
    <r>
      <rPr>
        <sz val="10"/>
        <rFont val="宋体"/>
        <charset val="134"/>
      </rPr>
      <t>，上开式，四面止水，铜密封。正向承压</t>
    </r>
  </si>
  <si>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</si>
  <si>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手动</t>
    </r>
  </si>
  <si>
    <r>
      <rPr>
        <sz val="10"/>
        <rFont val="宋体"/>
        <charset val="134"/>
      </rPr>
      <t>铸铁镶铜方闸门（格栅后）</t>
    </r>
  </si>
  <si>
    <r>
      <rPr>
        <sz val="10"/>
        <rFont val="宋体"/>
        <charset val="134"/>
      </rPr>
      <t>铸铁镶铜方闸门（提升泵池）</t>
    </r>
  </si>
  <si>
    <r>
      <rPr>
        <sz val="10"/>
        <rFont val="宋体"/>
        <charset val="134"/>
      </rPr>
      <t>渠深</t>
    </r>
    <r>
      <rPr>
        <sz val="10"/>
        <rFont val="Times New Roman"/>
        <charset val="134"/>
      </rPr>
      <t>12.7m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B×H=800×800</t>
    </r>
    <r>
      <rPr>
        <sz val="10"/>
        <rFont val="宋体"/>
        <charset val="134"/>
      </rPr>
      <t>，上开式，四面止水，铜密封。正反向承压</t>
    </r>
  </si>
  <si>
    <r>
      <rPr>
        <sz val="10"/>
        <rFont val="宋体"/>
        <charset val="134"/>
      </rPr>
      <t>反捞式粗格栅</t>
    </r>
  </si>
  <si>
    <r>
      <rPr>
        <sz val="10"/>
        <rFont val="宋体"/>
        <charset val="134"/>
      </rPr>
      <t>动轨格栅，渠宽</t>
    </r>
    <r>
      <rPr>
        <sz val="10"/>
        <rFont val="Times New Roman"/>
        <charset val="134"/>
      </rPr>
      <t>0.9m</t>
    </r>
    <r>
      <rPr>
        <sz val="10"/>
        <rFont val="宋体"/>
        <charset val="134"/>
      </rPr>
      <t>，渠深</t>
    </r>
    <r>
      <rPr>
        <sz val="10"/>
        <rFont val="Times New Roman"/>
        <charset val="134"/>
      </rPr>
      <t>11.5m</t>
    </r>
    <r>
      <rPr>
        <sz val="10"/>
        <rFont val="宋体"/>
        <charset val="134"/>
      </rPr>
      <t>，栅前水深</t>
    </r>
    <r>
      <rPr>
        <sz val="10"/>
        <rFont val="Times New Roman"/>
        <charset val="134"/>
      </rPr>
      <t>0.,65m</t>
    </r>
    <r>
      <rPr>
        <sz val="10"/>
        <rFont val="宋体"/>
        <charset val="134"/>
      </rPr>
      <t>，过栅流速</t>
    </r>
    <r>
      <rPr>
        <sz val="10"/>
        <rFont val="Times New Roman"/>
        <charset val="134"/>
      </rPr>
      <t>1.0m/s</t>
    </r>
    <r>
      <rPr>
        <sz val="10"/>
        <rFont val="宋体"/>
        <charset val="134"/>
      </rPr>
      <t>，栅条间隙</t>
    </r>
    <r>
      <rPr>
        <sz val="10"/>
        <rFont val="Times New Roman"/>
        <charset val="134"/>
      </rPr>
      <t>20mm</t>
    </r>
    <r>
      <rPr>
        <sz val="10"/>
        <rFont val="宋体"/>
        <charset val="134"/>
      </rPr>
      <t>，安装角度</t>
    </r>
    <r>
      <rPr>
        <sz val="10"/>
        <rFont val="Times New Roman"/>
        <charset val="134"/>
      </rPr>
      <t>80°</t>
    </r>
    <r>
      <rPr>
        <sz val="10"/>
        <rFont val="宋体"/>
        <charset val="134"/>
      </rPr>
      <t>，栅条高度</t>
    </r>
    <r>
      <rPr>
        <sz val="10"/>
        <rFont val="Times New Roman"/>
        <charset val="134"/>
      </rPr>
      <t>3.0m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(1.1+0.75)kW</t>
    </r>
    <r>
      <rPr>
        <sz val="10"/>
        <rFont val="宋体"/>
        <charset val="134"/>
      </rPr>
      <t>。材质：与污水接触部分不锈钢。</t>
    </r>
  </si>
  <si>
    <r>
      <rPr>
        <sz val="10"/>
        <rFont val="宋体"/>
        <charset val="134"/>
      </rPr>
      <t>粗格栅集气罩</t>
    </r>
  </si>
  <si>
    <t>/</t>
  </si>
  <si>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</si>
  <si>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除臭厂家配套提供</t>
    </r>
  </si>
  <si>
    <r>
      <rPr>
        <sz val="10"/>
        <rFont val="宋体"/>
        <charset val="134"/>
      </rPr>
      <t>水平带式栅渣输送机</t>
    </r>
  </si>
  <si>
    <r>
      <rPr>
        <sz val="10"/>
        <rFont val="Times New Roman"/>
        <charset val="134"/>
      </rPr>
      <t>PDS</t>
    </r>
    <r>
      <rPr>
        <sz val="10"/>
        <rFont val="宋体"/>
        <charset val="134"/>
      </rPr>
      <t>型，</t>
    </r>
    <r>
      <rPr>
        <sz val="10"/>
        <rFont val="Times New Roman"/>
        <charset val="134"/>
      </rPr>
      <t>B=500mm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L=4m</t>
    </r>
    <r>
      <rPr>
        <sz val="10"/>
        <rFont val="宋体"/>
        <charset val="134"/>
      </rPr>
      <t>，处理能力</t>
    </r>
    <r>
      <rPr>
        <sz val="10"/>
        <rFont val="Times New Roman"/>
        <charset val="134"/>
      </rPr>
      <t>1.0m³/min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N=1.5kw</t>
    </r>
  </si>
  <si>
    <r>
      <rPr>
        <sz val="10"/>
        <rFont val="宋体"/>
        <charset val="134"/>
      </rPr>
      <t>平板格栅</t>
    </r>
  </si>
  <si>
    <r>
      <rPr>
        <sz val="10"/>
        <rFont val="宋体"/>
        <charset val="134"/>
      </rPr>
      <t>渠宽</t>
    </r>
    <r>
      <rPr>
        <sz val="10"/>
        <rFont val="Times New Roman"/>
        <charset val="134"/>
      </rPr>
      <t>0.9m,</t>
    </r>
    <r>
      <rPr>
        <sz val="10"/>
        <rFont val="宋体"/>
        <charset val="134"/>
      </rPr>
      <t>渠深</t>
    </r>
    <r>
      <rPr>
        <sz val="10"/>
        <rFont val="Times New Roman"/>
        <charset val="134"/>
      </rPr>
      <t>11.50m,</t>
    </r>
    <r>
      <rPr>
        <sz val="10"/>
        <rFont val="宋体"/>
        <charset val="134"/>
      </rPr>
      <t>栅前水深</t>
    </r>
    <r>
      <rPr>
        <sz val="10"/>
        <rFont val="Times New Roman"/>
        <charset val="134"/>
      </rPr>
      <t>0.65m,</t>
    </r>
    <r>
      <rPr>
        <sz val="10"/>
        <rFont val="宋体"/>
        <charset val="134"/>
      </rPr>
      <t>栅条高度</t>
    </r>
    <r>
      <rPr>
        <sz val="10"/>
        <rFont val="Times New Roman"/>
        <charset val="134"/>
      </rPr>
      <t>3.0m;</t>
    </r>
    <r>
      <rPr>
        <sz val="10"/>
        <rFont val="宋体"/>
        <charset val="134"/>
      </rPr>
      <t>安装角度</t>
    </r>
    <r>
      <rPr>
        <sz val="10"/>
        <rFont val="Times New Roman"/>
        <charset val="134"/>
      </rPr>
      <t>90°;</t>
    </r>
    <r>
      <rPr>
        <sz val="10"/>
        <rFont val="宋体"/>
        <charset val="134"/>
      </rPr>
      <t>材质：与污水接触部分不锈钢</t>
    </r>
  </si>
  <si>
    <r>
      <rPr>
        <sz val="10"/>
        <rFont val="宋体"/>
        <charset val="134"/>
      </rPr>
      <t>进水提升泵</t>
    </r>
  </si>
  <si>
    <r>
      <rPr>
        <sz val="10"/>
        <rFont val="宋体"/>
        <charset val="134"/>
      </rPr>
      <t>潜污泵，流量</t>
    </r>
    <r>
      <rPr>
        <sz val="10"/>
        <rFont val="Times New Roman"/>
        <charset val="134"/>
      </rPr>
      <t>Q=620.8m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H=16m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N=45kw</t>
    </r>
    <r>
      <rPr>
        <sz val="10"/>
        <rFont val="宋体"/>
        <charset val="134"/>
      </rPr>
      <t>。自耦安装</t>
    </r>
    <r>
      <rPr>
        <sz val="10"/>
        <rFont val="Times New Roman"/>
        <charset val="134"/>
      </rPr>
      <t>.</t>
    </r>
  </si>
  <si>
    <r>
      <rPr>
        <sz val="10"/>
        <rFont val="宋体"/>
        <charset val="134"/>
      </rPr>
      <t>栅渣装运车</t>
    </r>
  </si>
  <si>
    <r>
      <rPr>
        <sz val="10"/>
        <rFont val="Times New Roman"/>
        <charset val="134"/>
      </rPr>
      <t>V=0.8m</t>
    </r>
    <r>
      <rPr>
        <vertAlign val="superscript"/>
        <sz val="10"/>
        <rFont val="Times New Roman"/>
        <charset val="134"/>
      </rPr>
      <t>3</t>
    </r>
  </si>
  <si>
    <r>
      <rPr>
        <sz val="10"/>
        <rFont val="宋体"/>
        <charset val="134"/>
      </rPr>
      <t>由格栅厂家配套提供</t>
    </r>
  </si>
  <si>
    <r>
      <rPr>
        <sz val="10"/>
        <rFont val="宋体"/>
        <charset val="134"/>
      </rPr>
      <t>二、细格栅及曝气沉砂池</t>
    </r>
  </si>
  <si>
    <r>
      <rPr>
        <sz val="10"/>
        <rFont val="宋体"/>
        <charset val="134"/>
      </rPr>
      <t>回转式细格栅</t>
    </r>
  </si>
  <si>
    <r>
      <rPr>
        <sz val="10"/>
        <rFont val="宋体"/>
        <charset val="134"/>
      </rPr>
      <t>栅隙</t>
    </r>
    <r>
      <rPr>
        <sz val="10"/>
        <rFont val="Times New Roman"/>
        <charset val="134"/>
      </rPr>
      <t>3mm</t>
    </r>
    <r>
      <rPr>
        <sz val="10"/>
        <rFont val="宋体"/>
        <charset val="134"/>
      </rPr>
      <t>，渠宽</t>
    </r>
    <r>
      <rPr>
        <sz val="10"/>
        <rFont val="Times New Roman"/>
        <charset val="134"/>
      </rPr>
      <t>1.4m</t>
    </r>
    <r>
      <rPr>
        <sz val="10"/>
        <rFont val="宋体"/>
        <charset val="134"/>
      </rPr>
      <t>，渠深</t>
    </r>
    <r>
      <rPr>
        <sz val="10"/>
        <rFont val="Times New Roman"/>
        <charset val="134"/>
      </rPr>
      <t>1.35m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α=75°</t>
    </r>
    <r>
      <rPr>
        <sz val="10"/>
        <rFont val="宋体"/>
        <charset val="134"/>
      </rPr>
      <t>，栅前水深</t>
    </r>
    <r>
      <rPr>
        <sz val="10"/>
        <rFont val="Times New Roman"/>
        <charset val="134"/>
      </rPr>
      <t>0.75m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N=1.5kW</t>
    </r>
  </si>
  <si>
    <r>
      <rPr>
        <sz val="10"/>
        <rFont val="宋体"/>
        <charset val="134"/>
      </rPr>
      <t>无轴螺旋输送压榨一体机</t>
    </r>
  </si>
  <si>
    <r>
      <rPr>
        <sz val="10"/>
        <rFont val="宋体"/>
        <charset val="134"/>
      </rPr>
      <t>螺旋直径</t>
    </r>
    <r>
      <rPr>
        <sz val="10"/>
        <rFont val="Times New Roman"/>
        <charset val="134"/>
      </rPr>
      <t>260mm</t>
    </r>
    <r>
      <rPr>
        <sz val="10"/>
        <rFont val="宋体"/>
        <charset val="134"/>
      </rPr>
      <t>，输送长度</t>
    </r>
    <r>
      <rPr>
        <sz val="10"/>
        <rFont val="Times New Roman"/>
        <charset val="134"/>
      </rPr>
      <t>4.50m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2.2kW</t>
    </r>
    <r>
      <rPr>
        <sz val="10"/>
        <rFont val="宋体"/>
        <charset val="134"/>
      </rPr>
      <t>，做好设备密封。</t>
    </r>
  </si>
  <si>
    <r>
      <rPr>
        <sz val="10"/>
        <rFont val="宋体"/>
        <charset val="134"/>
      </rPr>
      <t>桥式吸砂机</t>
    </r>
  </si>
  <si>
    <r>
      <rPr>
        <sz val="10"/>
        <rFont val="宋体"/>
        <charset val="134"/>
      </rPr>
      <t>气提砂，池净宽</t>
    </r>
    <r>
      <rPr>
        <sz val="10"/>
        <rFont val="Times New Roman"/>
        <charset val="134"/>
      </rPr>
      <t>7.42m</t>
    </r>
    <r>
      <rPr>
        <sz val="10"/>
        <rFont val="宋体"/>
        <charset val="134"/>
      </rPr>
      <t>，池长</t>
    </r>
    <r>
      <rPr>
        <sz val="10"/>
        <rFont val="Times New Roman"/>
        <charset val="134"/>
      </rPr>
      <t>15m</t>
    </r>
    <r>
      <rPr>
        <sz val="10"/>
        <rFont val="宋体"/>
        <charset val="134"/>
      </rPr>
      <t>，行走速度</t>
    </r>
    <r>
      <rPr>
        <sz val="10"/>
        <rFont val="Times New Roman"/>
        <charset val="134"/>
      </rPr>
      <t>2m/min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N=4kW</t>
    </r>
    <r>
      <rPr>
        <sz val="10"/>
        <rFont val="宋体"/>
        <charset val="134"/>
      </rPr>
      <t>（吸砂鼓风机）</t>
    </r>
    <r>
      <rPr>
        <sz val="10"/>
        <rFont val="Times New Roman"/>
        <charset val="134"/>
      </rPr>
      <t>+2×0.37kW(</t>
    </r>
    <r>
      <rPr>
        <sz val="10"/>
        <rFont val="宋体"/>
        <charset val="134"/>
      </rPr>
      <t>电机行走功率）</t>
    </r>
    <r>
      <rPr>
        <sz val="10"/>
        <rFont val="Times New Roman"/>
        <charset val="134"/>
      </rPr>
      <t>,2</t>
    </r>
    <r>
      <rPr>
        <sz val="10"/>
        <rFont val="宋体"/>
        <charset val="134"/>
      </rPr>
      <t>根吸砂管均带阀门</t>
    </r>
  </si>
  <si>
    <r>
      <rPr>
        <sz val="10"/>
        <rFont val="宋体"/>
        <charset val="134"/>
      </rPr>
      <t>砂水分离器</t>
    </r>
  </si>
  <si>
    <r>
      <rPr>
        <sz val="10"/>
        <rFont val="宋体"/>
        <charset val="134"/>
      </rPr>
      <t>处理量</t>
    </r>
    <r>
      <rPr>
        <sz val="10"/>
        <rFont val="Times New Roman"/>
        <charset val="134"/>
      </rPr>
      <t>12L/s</t>
    </r>
    <r>
      <rPr>
        <sz val="10"/>
        <rFont val="宋体"/>
        <charset val="134"/>
      </rPr>
      <t>，螺旋直径</t>
    </r>
    <r>
      <rPr>
        <sz val="10"/>
        <rFont val="Times New Roman"/>
        <charset val="134"/>
      </rPr>
      <t>220mm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N=0.37kW</t>
    </r>
    <r>
      <rPr>
        <sz val="10"/>
        <rFont val="宋体"/>
        <charset val="134"/>
      </rPr>
      <t>，出砂含水率小于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，砂水分离器效率大于</t>
    </r>
    <r>
      <rPr>
        <sz val="10"/>
        <rFont val="Times New Roman"/>
        <charset val="134"/>
      </rPr>
      <t>90%</t>
    </r>
  </si>
  <si>
    <r>
      <rPr>
        <sz val="10"/>
        <rFont val="宋体"/>
        <charset val="134"/>
      </rPr>
      <t>罗茨鼓风机</t>
    </r>
  </si>
  <si>
    <r>
      <rPr>
        <sz val="10"/>
        <rFont val="Times New Roman"/>
        <charset val="134"/>
      </rPr>
      <t>Q=9.8m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/min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P=24.5KPa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N=7.5kW               </t>
    </r>
    <r>
      <rPr>
        <sz val="10"/>
        <rFont val="宋体"/>
        <charset val="134"/>
      </rPr>
      <t>配套进风过滤器、消音器，出口安全阀、止回阀、压力表，出口消音器、出口蝶阀等</t>
    </r>
  </si>
  <si>
    <r>
      <rPr>
        <sz val="10"/>
        <rFont val="宋体"/>
        <charset val="134"/>
      </rPr>
      <t>渠道闸门</t>
    </r>
    <r>
      <rPr>
        <sz val="10"/>
        <rFont val="Times New Roman"/>
        <charset val="134"/>
      </rPr>
      <t>1</t>
    </r>
  </si>
  <si>
    <r>
      <rPr>
        <sz val="10"/>
        <rFont val="Times New Roman"/>
        <charset val="134"/>
      </rPr>
      <t>B1400×H1350</t>
    </r>
    <r>
      <rPr>
        <sz val="10"/>
        <rFont val="宋体"/>
        <charset val="134"/>
      </rPr>
      <t>，材质不锈钢，三面止水，配手盘式启闭机，丁晴橡胶密封</t>
    </r>
  </si>
  <si>
    <r>
      <rPr>
        <sz val="10"/>
        <rFont val="宋体"/>
        <charset val="134"/>
      </rPr>
      <t>渠道闸门</t>
    </r>
    <r>
      <rPr>
        <sz val="10"/>
        <rFont val="Times New Roman"/>
        <charset val="134"/>
      </rPr>
      <t>2</t>
    </r>
  </si>
  <si>
    <r>
      <rPr>
        <sz val="10"/>
        <rFont val="Times New Roman"/>
        <charset val="134"/>
      </rPr>
      <t>B1500×H1350</t>
    </r>
    <r>
      <rPr>
        <sz val="10"/>
        <rFont val="宋体"/>
        <charset val="134"/>
      </rPr>
      <t>，材质不锈钢，三面止水，配手盘式启闭机，丁晴橡胶密封</t>
    </r>
  </si>
  <si>
    <r>
      <rPr>
        <sz val="10"/>
        <rFont val="宋体"/>
        <charset val="134"/>
      </rPr>
      <t>撇渣管</t>
    </r>
  </si>
  <si>
    <r>
      <rPr>
        <sz val="10"/>
        <rFont val="Times New Roman"/>
        <charset val="134"/>
      </rPr>
      <t>DN200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L=2.46m</t>
    </r>
    <r>
      <rPr>
        <sz val="10"/>
        <rFont val="宋体"/>
        <charset val="134"/>
      </rPr>
      <t>，管中心距池顶</t>
    </r>
    <r>
      <rPr>
        <sz val="10"/>
        <rFont val="Times New Roman"/>
        <charset val="134"/>
      </rPr>
      <t>0.9m</t>
    </r>
    <r>
      <rPr>
        <sz val="10"/>
        <rFont val="宋体"/>
        <charset val="134"/>
      </rPr>
      <t>，单头通；配套手动启闭机</t>
    </r>
  </si>
  <si>
    <r>
      <rPr>
        <sz val="10"/>
        <rFont val="宋体"/>
        <charset val="134"/>
      </rPr>
      <t>整流格栅</t>
    </r>
    <r>
      <rPr>
        <sz val="10"/>
        <rFont val="Times New Roman"/>
        <charset val="134"/>
      </rPr>
      <t>1</t>
    </r>
  </si>
  <si>
    <r>
      <rPr>
        <sz val="10"/>
        <rFont val="Times New Roman"/>
        <charset val="134"/>
      </rPr>
      <t>B1400mmxH1600mm</t>
    </r>
    <r>
      <rPr>
        <sz val="10"/>
        <rFont val="宋体"/>
        <charset val="134"/>
      </rPr>
      <t>，厚度</t>
    </r>
    <r>
      <rPr>
        <sz val="10"/>
        <rFont val="Times New Roman"/>
        <charset val="134"/>
      </rPr>
      <t>δ=3mm</t>
    </r>
    <r>
      <rPr>
        <sz val="10"/>
        <rFont val="宋体"/>
        <charset val="134"/>
      </rPr>
      <t>，栅条宽</t>
    </r>
    <r>
      <rPr>
        <sz val="10"/>
        <rFont val="Times New Roman"/>
        <charset val="134"/>
      </rPr>
      <t>80mm</t>
    </r>
    <r>
      <rPr>
        <sz val="10"/>
        <rFont val="宋体"/>
        <charset val="134"/>
      </rPr>
      <t>，栅条间隙</t>
    </r>
    <r>
      <rPr>
        <sz val="10"/>
        <rFont val="Times New Roman"/>
        <charset val="134"/>
      </rPr>
      <t>80mm,</t>
    </r>
    <r>
      <rPr>
        <sz val="10"/>
        <rFont val="宋体"/>
        <charset val="134"/>
      </rPr>
      <t>材质不锈钢</t>
    </r>
  </si>
  <si>
    <r>
      <rPr>
        <sz val="10"/>
        <rFont val="宋体"/>
        <charset val="134"/>
      </rPr>
      <t>整流格栅</t>
    </r>
    <r>
      <rPr>
        <sz val="10"/>
        <rFont val="Times New Roman"/>
        <charset val="134"/>
      </rPr>
      <t>2</t>
    </r>
  </si>
  <si>
    <r>
      <rPr>
        <sz val="10"/>
        <rFont val="Times New Roman"/>
        <charset val="134"/>
      </rPr>
      <t>B800mm×H1600mm</t>
    </r>
    <r>
      <rPr>
        <sz val="10"/>
        <rFont val="宋体"/>
        <charset val="134"/>
      </rPr>
      <t>，厚度</t>
    </r>
    <r>
      <rPr>
        <sz val="10"/>
        <rFont val="Times New Roman"/>
        <charset val="134"/>
      </rPr>
      <t>δ=3mm</t>
    </r>
    <r>
      <rPr>
        <sz val="10"/>
        <rFont val="宋体"/>
        <charset val="134"/>
      </rPr>
      <t>，栅条宽</t>
    </r>
    <r>
      <rPr>
        <sz val="10"/>
        <rFont val="Times New Roman"/>
        <charset val="134"/>
      </rPr>
      <t>80mm</t>
    </r>
    <r>
      <rPr>
        <sz val="10"/>
        <rFont val="宋体"/>
        <charset val="134"/>
      </rPr>
      <t>，栅条间隙</t>
    </r>
    <r>
      <rPr>
        <sz val="10"/>
        <rFont val="Times New Roman"/>
        <charset val="134"/>
      </rPr>
      <t>80mm</t>
    </r>
    <r>
      <rPr>
        <sz val="10"/>
        <rFont val="宋体"/>
        <charset val="134"/>
      </rPr>
      <t>，材质不锈钢</t>
    </r>
  </si>
  <si>
    <r>
      <rPr>
        <sz val="10"/>
        <rFont val="宋体"/>
        <charset val="134"/>
      </rPr>
      <t>滤渣篮</t>
    </r>
  </si>
  <si>
    <t>V=0.5m³</t>
  </si>
  <si>
    <r>
      <rPr>
        <sz val="10"/>
        <rFont val="宋体"/>
        <charset val="134"/>
      </rPr>
      <t>栅渣小车</t>
    </r>
  </si>
  <si>
    <r>
      <rPr>
        <sz val="10"/>
        <rFont val="Times New Roman"/>
        <charset val="134"/>
      </rPr>
      <t>V=0.8m³</t>
    </r>
    <r>
      <rPr>
        <sz val="10"/>
        <rFont val="宋体"/>
        <charset val="134"/>
      </rPr>
      <t>，手推式</t>
    </r>
  </si>
  <si>
    <r>
      <rPr>
        <sz val="10"/>
        <rFont val="宋体"/>
        <charset val="134"/>
      </rPr>
      <t>进水取样泵</t>
    </r>
  </si>
  <si>
    <r>
      <rPr>
        <sz val="10"/>
        <rFont val="宋体"/>
        <charset val="134"/>
      </rPr>
      <t>进水</t>
    </r>
    <r>
      <rPr>
        <sz val="10"/>
        <rFont val="Times New Roman"/>
        <charset val="134"/>
      </rPr>
      <t>COD</t>
    </r>
    <r>
      <rPr>
        <sz val="10"/>
        <rFont val="宋体"/>
        <charset val="134"/>
      </rPr>
      <t>、氨氮等仪表厂家配套，</t>
    </r>
    <r>
      <rPr>
        <sz val="10"/>
        <rFont val="Times New Roman"/>
        <charset val="134"/>
      </rPr>
      <t>220V</t>
    </r>
    <r>
      <rPr>
        <sz val="10"/>
        <rFont val="宋体"/>
        <charset val="134"/>
      </rPr>
      <t>电源供电</t>
    </r>
  </si>
  <si>
    <r>
      <rPr>
        <sz val="10"/>
        <rFont val="宋体"/>
        <charset val="134"/>
      </rPr>
      <t>安装在进水在线监测室</t>
    </r>
  </si>
  <si>
    <r>
      <rPr>
        <sz val="10"/>
        <rFont val="宋体"/>
        <charset val="134"/>
      </rPr>
      <t>手动旋转调节堰门</t>
    </r>
  </si>
  <si>
    <r>
      <rPr>
        <sz val="10"/>
        <rFont val="Times New Roman"/>
        <charset val="134"/>
      </rPr>
      <t>L=2460mm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H=500mm</t>
    </r>
    <r>
      <rPr>
        <sz val="10"/>
        <rFont val="宋体"/>
        <charset val="134"/>
      </rPr>
      <t>，材质不锈钢</t>
    </r>
  </si>
  <si>
    <r>
      <rPr>
        <sz val="10"/>
        <rFont val="宋体"/>
        <charset val="134"/>
      </rPr>
      <t>铸铁镶铜闸门</t>
    </r>
  </si>
  <si>
    <r>
      <rPr>
        <sz val="10"/>
        <rFont val="宋体"/>
        <charset val="134"/>
      </rPr>
      <t>通径</t>
    </r>
    <r>
      <rPr>
        <sz val="10"/>
        <rFont val="Times New Roman"/>
        <charset val="134"/>
      </rPr>
      <t>∅800</t>
    </r>
    <r>
      <rPr>
        <sz val="10"/>
        <rFont val="宋体"/>
        <charset val="134"/>
      </rPr>
      <t>，材质不锈钢配套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台电控箱</t>
    </r>
    <r>
      <rPr>
        <sz val="10"/>
        <rFont val="Times New Roman"/>
        <charset val="134"/>
      </rPr>
      <t>(IP65)</t>
    </r>
    <r>
      <rPr>
        <sz val="10"/>
        <rFont val="宋体"/>
        <charset val="134"/>
      </rPr>
      <t>。正反双向承压，正向承压大于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米，反向承压大于</t>
    </r>
    <r>
      <rPr>
        <sz val="10"/>
        <rFont val="Times New Roman"/>
        <charset val="134"/>
      </rPr>
      <t>7m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</si>
  <si>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三、改良</t>
    </r>
    <r>
      <rPr>
        <sz val="10"/>
        <rFont val="Times New Roman"/>
        <charset val="134"/>
      </rPr>
      <t>AAO</t>
    </r>
    <r>
      <rPr>
        <sz val="10"/>
        <rFont val="宋体"/>
        <charset val="134"/>
      </rPr>
      <t>生化池</t>
    </r>
  </si>
  <si>
    <r>
      <rPr>
        <sz val="10"/>
        <rFont val="宋体"/>
        <charset val="134"/>
      </rPr>
      <t>潜水搅拌机（预缺氧池）</t>
    </r>
  </si>
  <si>
    <r>
      <rPr>
        <sz val="10"/>
        <rFont val="Times New Roman"/>
        <charset val="134"/>
      </rPr>
      <t>Φ500mm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N=2.5kW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n=344r/min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</si>
  <si>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冷备，含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套预埋件（底座），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套起吊装置顶置式插筒</t>
    </r>
  </si>
  <si>
    <r>
      <rPr>
        <sz val="10"/>
        <rFont val="宋体"/>
        <charset val="134"/>
      </rPr>
      <t>潜水搅拌机（厌氧池）</t>
    </r>
  </si>
  <si>
    <r>
      <rPr>
        <sz val="10"/>
        <rFont val="Times New Roman"/>
        <charset val="134"/>
      </rPr>
      <t>Φ600mm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N=3.5kW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n=337r/min</t>
    </r>
  </si>
  <si>
    <r>
      <rPr>
        <sz val="10"/>
        <rFont val="宋体"/>
        <charset val="134"/>
      </rPr>
      <t>潜水搅拌机（缺氧池）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</si>
  <si>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用，含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套预埋件（底座），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套起吊装置顶置式插筒</t>
    </r>
  </si>
  <si>
    <r>
      <rPr>
        <sz val="10"/>
        <rFont val="宋体"/>
        <charset val="134"/>
      </rPr>
      <t>潜水推流器（缺氧池）</t>
    </r>
  </si>
  <si>
    <r>
      <rPr>
        <sz val="10"/>
        <rFont val="Times New Roman"/>
        <charset val="134"/>
      </rPr>
      <t>Φ1600mm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N=2.5kW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n=56r/min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</si>
  <si>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冷备，含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套预埋件（底座），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套起吊装置顶置式插筒</t>
    </r>
  </si>
  <si>
    <r>
      <rPr>
        <sz val="10"/>
        <rFont val="宋体"/>
        <charset val="134"/>
      </rPr>
      <t>混合液回流泵（桨叶泵）</t>
    </r>
  </si>
  <si>
    <r>
      <rPr>
        <sz val="10"/>
        <rFont val="Times New Roman"/>
        <charset val="134"/>
      </rPr>
      <t>Q=416m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H=1.5m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N=4.5kW</t>
    </r>
  </si>
  <si>
    <r>
      <rPr>
        <sz val="10"/>
        <rFont val="宋体"/>
        <charset val="134"/>
      </rPr>
      <t>变频调速，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冷备，配套起吊装置顶置式插筒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套，底座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套</t>
    </r>
  </si>
  <si>
    <t>微孔橡胶曝气器</t>
  </si>
  <si>
    <r>
      <rPr>
        <sz val="10"/>
        <rFont val="Times New Roman"/>
        <charset val="134"/>
      </rPr>
      <t>∅=215mm</t>
    </r>
    <r>
      <rPr>
        <sz val="10"/>
        <rFont val="宋体"/>
        <charset val="134"/>
      </rPr>
      <t>，氧转移效率</t>
    </r>
    <r>
      <rPr>
        <sz val="10"/>
        <rFont val="Times New Roman"/>
        <charset val="134"/>
      </rPr>
      <t>28%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q=1.5-2.5m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/h•</t>
    </r>
    <r>
      <rPr>
        <sz val="10"/>
        <rFont val="宋体"/>
        <charset val="134"/>
      </rPr>
      <t>个，微孔橡胶</t>
    </r>
  </si>
  <si>
    <r>
      <rPr>
        <sz val="10"/>
        <rFont val="宋体"/>
        <charset val="134"/>
      </rPr>
      <t>个</t>
    </r>
  </si>
  <si>
    <t>配套分界线以下的空气管路</t>
  </si>
  <si>
    <r>
      <rPr>
        <sz val="10"/>
        <rFont val="宋体"/>
        <charset val="134"/>
      </rPr>
      <t>超越渠道插板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闸门</t>
    </r>
  </si>
  <si>
    <r>
      <rPr>
        <sz val="10"/>
        <rFont val="Times New Roman"/>
        <charset val="134"/>
      </rPr>
      <t>1100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h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×600mm</t>
    </r>
  </si>
  <si>
    <r>
      <rPr>
        <sz val="10"/>
        <rFont val="宋体"/>
        <charset val="134"/>
      </rPr>
      <t>三面止水，手动，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套预埋件，室外</t>
    </r>
  </si>
  <si>
    <r>
      <rPr>
        <sz val="10"/>
        <rFont val="宋体"/>
        <charset val="134"/>
      </rPr>
      <t>进水堰板</t>
    </r>
  </si>
  <si>
    <r>
      <rPr>
        <sz val="10"/>
        <rFont val="Times New Roman"/>
        <charset val="134"/>
      </rPr>
      <t>L*B=3400mm*400mm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δ=3mm   SUS304</t>
    </r>
  </si>
  <si>
    <r>
      <rPr>
        <sz val="10"/>
        <rFont val="宋体"/>
        <charset val="134"/>
      </rPr>
      <t>出水堰板</t>
    </r>
  </si>
  <si>
    <r>
      <rPr>
        <sz val="10"/>
        <rFont val="Times New Roman"/>
        <charset val="134"/>
      </rPr>
      <t>L*B=2400mm*400mm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δ=3mm   SUS304</t>
    </r>
  </si>
  <si>
    <t>配水堰板</t>
  </si>
  <si>
    <r>
      <rPr>
        <sz val="10"/>
        <rFont val="Times New Roman"/>
        <charset val="134"/>
      </rPr>
      <t>L*B=600mm*800mm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δ=3mm   SUS304</t>
    </r>
  </si>
  <si>
    <r>
      <rPr>
        <sz val="10"/>
        <rFont val="宋体"/>
        <charset val="134"/>
      </rPr>
      <t>四、圆形周进周出二沉池</t>
    </r>
  </si>
  <si>
    <r>
      <rPr>
        <sz val="10"/>
        <rFont val="宋体"/>
        <charset val="134"/>
      </rPr>
      <t>刮吸泥机</t>
    </r>
  </si>
  <si>
    <r>
      <rPr>
        <sz val="10"/>
        <rFont val="宋体"/>
        <charset val="134"/>
      </rPr>
      <t>中心传动悬挂式单管刮吸泥机，</t>
    </r>
    <r>
      <rPr>
        <sz val="10"/>
        <rFont val="Times New Roman"/>
        <charset val="134"/>
      </rPr>
      <t>D=23m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P=0.37kW</t>
    </r>
    <r>
      <rPr>
        <sz val="10"/>
        <rFont val="宋体"/>
        <charset val="134"/>
      </rPr>
      <t>，工作桥净宽，度不小于</t>
    </r>
    <r>
      <rPr>
        <sz val="10"/>
        <rFont val="Times New Roman"/>
        <charset val="134"/>
      </rPr>
      <t>0.9m</t>
    </r>
    <r>
      <rPr>
        <sz val="10"/>
        <rFont val="宋体"/>
        <charset val="134"/>
      </rPr>
      <t>，栏杆高度不低于</t>
    </r>
    <r>
      <rPr>
        <sz val="10"/>
        <rFont val="Times New Roman"/>
        <charset val="134"/>
      </rPr>
      <t>1.2m</t>
    </r>
    <r>
      <rPr>
        <sz val="10"/>
        <rFont val="宋体"/>
        <charset val="134"/>
      </rPr>
      <t>，与污水接触部分不锈钢</t>
    </r>
  </si>
  <si>
    <r>
      <rPr>
        <sz val="10"/>
        <rFont val="宋体"/>
        <charset val="134"/>
      </rPr>
      <t>浮渣挡板</t>
    </r>
  </si>
  <si>
    <r>
      <rPr>
        <sz val="10"/>
        <rFont val="Times New Roman"/>
        <charset val="134"/>
      </rPr>
      <t>B=320mm,L=64m,δ=3.0mm(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材质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不锈钢，配适量支撑及全部安装附件</t>
    </r>
  </si>
  <si>
    <r>
      <rPr>
        <sz val="10"/>
        <rFont val="宋体"/>
        <charset val="134"/>
      </rPr>
      <t>刮吸泥机厂家配套提供</t>
    </r>
  </si>
  <si>
    <r>
      <rPr>
        <sz val="10"/>
        <rFont val="宋体"/>
        <charset val="134"/>
      </rPr>
      <t>出水三角堰板</t>
    </r>
  </si>
  <si>
    <r>
      <rPr>
        <sz val="10"/>
        <rFont val="Times New Roman"/>
        <charset val="134"/>
      </rPr>
      <t>B=220mm,L=65m,δ=3.0mm(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材质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不锈钢，配套出水堰板密封垫及全部安装附件</t>
    </r>
  </si>
  <si>
    <r>
      <rPr>
        <sz val="10"/>
        <rFont val="宋体"/>
        <charset val="134"/>
      </rPr>
      <t>撇渣系统及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浮渣斗</t>
    </r>
  </si>
  <si>
    <r>
      <rPr>
        <sz val="10"/>
        <rFont val="宋体"/>
        <charset val="134"/>
      </rPr>
      <t>进水挡板</t>
    </r>
  </si>
  <si>
    <r>
      <rPr>
        <sz val="10"/>
        <rFont val="Times New Roman"/>
        <charset val="134"/>
      </rPr>
      <t>L=73m,δ=3.0mm(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，材质：不锈钢，挡板</t>
    </r>
    <r>
      <rPr>
        <sz val="10"/>
        <rFont val="Times New Roman"/>
        <charset val="134"/>
      </rPr>
      <t>;B=300mm(</t>
    </r>
    <r>
      <rPr>
        <sz val="10"/>
        <rFont val="宋体"/>
        <charset val="134"/>
      </rPr>
      <t>不含折边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配套支撑及全部安装附件</t>
    </r>
  </si>
  <si>
    <r>
      <rPr>
        <sz val="10"/>
        <rFont val="宋体"/>
        <charset val="134"/>
      </rPr>
      <t>挡水裙板</t>
    </r>
  </si>
  <si>
    <r>
      <rPr>
        <sz val="10"/>
        <rFont val="Times New Roman"/>
        <charset val="134"/>
      </rPr>
      <t>L=70m,δ=3.0mm(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，材质：不锈钢，裙板</t>
    </r>
    <r>
      <rPr>
        <sz val="10"/>
        <rFont val="Times New Roman"/>
        <charset val="134"/>
      </rPr>
      <t>;B=600mm(</t>
    </r>
    <r>
      <rPr>
        <sz val="10"/>
        <rFont val="宋体"/>
        <charset val="134"/>
      </rPr>
      <t>不含折边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配套支撑及全部安装附件</t>
    </r>
  </si>
  <si>
    <r>
      <rPr>
        <sz val="10"/>
        <rFont val="宋体"/>
        <charset val="134"/>
      </rPr>
      <t>调节堰门</t>
    </r>
  </si>
  <si>
    <r>
      <rPr>
        <sz val="10"/>
        <rFont val="宋体"/>
        <charset val="134"/>
      </rPr>
      <t>钢制直动式调节堰门，</t>
    </r>
    <r>
      <rPr>
        <sz val="10"/>
        <rFont val="Times New Roman"/>
        <charset val="134"/>
      </rPr>
      <t>BxH=500x500</t>
    </r>
    <r>
      <rPr>
        <sz val="10"/>
        <rFont val="宋体"/>
        <charset val="134"/>
      </rPr>
      <t>，附壁式，三面止水，配手盘式启闭机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丁晴橡胶密封</t>
    </r>
  </si>
  <si>
    <r>
      <rPr>
        <sz val="10"/>
        <rFont val="宋体"/>
        <charset val="134"/>
      </rPr>
      <t>五、二沉池配水井、污泥泵</t>
    </r>
  </si>
  <si>
    <r>
      <rPr>
        <sz val="10"/>
        <rFont val="宋体"/>
        <charset val="134"/>
      </rPr>
      <t>污泥回流泵</t>
    </r>
  </si>
  <si>
    <r>
      <rPr>
        <sz val="10"/>
        <rFont val="Times New Roman"/>
        <charset val="134"/>
      </rPr>
      <t>Q=416.7m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 /h H=4.5m P=11kW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</si>
  <si>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台变频</t>
    </r>
  </si>
  <si>
    <r>
      <rPr>
        <sz val="10"/>
        <rFont val="宋体"/>
        <charset val="134"/>
      </rPr>
      <t>剩余污泥泵</t>
    </r>
  </si>
  <si>
    <r>
      <rPr>
        <sz val="10"/>
        <rFont val="Times New Roman"/>
        <charset val="134"/>
      </rPr>
      <t>Q=40m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 xml:space="preserve"> /h H=15m P=4kW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</si>
  <si>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</t>
    </r>
  </si>
  <si>
    <r>
      <rPr>
        <sz val="10"/>
        <rFont val="宋体"/>
        <charset val="134"/>
      </rPr>
      <t>上开式</t>
    </r>
    <r>
      <rPr>
        <sz val="10"/>
        <rFont val="Times New Roman"/>
        <charset val="134"/>
      </rPr>
      <t>1000x1000</t>
    </r>
  </si>
  <si>
    <r>
      <rPr>
        <sz val="10"/>
        <rFont val="宋体"/>
        <charset val="134"/>
      </rPr>
      <t>配手动启闭机</t>
    </r>
  </si>
  <si>
    <r>
      <rPr>
        <sz val="10"/>
        <rFont val="宋体"/>
        <charset val="134"/>
      </rPr>
      <t>铸铁调节堰门</t>
    </r>
  </si>
  <si>
    <r>
      <rPr>
        <sz val="10"/>
        <rFont val="宋体"/>
        <charset val="134"/>
      </rPr>
      <t>下开式</t>
    </r>
    <r>
      <rPr>
        <sz val="10"/>
        <rFont val="Times New Roman"/>
        <charset val="134"/>
      </rPr>
      <t>2000x500</t>
    </r>
  </si>
  <si>
    <r>
      <rPr>
        <sz val="10"/>
        <rFont val="宋体"/>
        <charset val="134"/>
      </rPr>
      <t>上开式</t>
    </r>
    <r>
      <rPr>
        <sz val="10"/>
        <rFont val="Times New Roman"/>
        <charset val="134"/>
      </rPr>
      <t>DN500</t>
    </r>
  </si>
  <si>
    <r>
      <rPr>
        <sz val="10"/>
        <rFont val="宋体"/>
        <charset val="134"/>
      </rPr>
      <t>六、高效沉淀池</t>
    </r>
  </si>
  <si>
    <r>
      <rPr>
        <sz val="10"/>
        <rFont val="宋体"/>
        <charset val="134"/>
      </rPr>
      <t>混合搅拌机</t>
    </r>
  </si>
  <si>
    <r>
      <rPr>
        <sz val="10"/>
        <rFont val="宋体"/>
        <charset val="134"/>
      </rPr>
      <t>叶轮直径</t>
    </r>
    <r>
      <rPr>
        <sz val="10"/>
        <rFont val="Times New Roman"/>
        <charset val="134"/>
      </rPr>
      <t>1000mm,</t>
    </r>
    <r>
      <rPr>
        <sz val="10"/>
        <rFont val="宋体"/>
        <charset val="134"/>
      </rPr>
      <t>转速</t>
    </r>
    <r>
      <rPr>
        <sz val="10"/>
        <rFont val="Times New Roman"/>
        <charset val="134"/>
      </rPr>
      <t>60rpm,</t>
    </r>
    <r>
      <rPr>
        <sz val="10"/>
        <rFont val="宋体"/>
        <charset val="134"/>
      </rPr>
      <t>功率</t>
    </r>
    <r>
      <rPr>
        <sz val="10"/>
        <rFont val="Times New Roman"/>
        <charset val="134"/>
      </rPr>
      <t>4.0kW,</t>
    </r>
    <r>
      <rPr>
        <sz val="10"/>
        <rFont val="宋体"/>
        <charset val="134"/>
      </rPr>
      <t>变频控制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搅拌叶轮不锈钢</t>
    </r>
    <r>
      <rPr>
        <sz val="10"/>
        <rFont val="Times New Roman"/>
        <charset val="134"/>
      </rPr>
      <t>SS304</t>
    </r>
  </si>
  <si>
    <r>
      <rPr>
        <sz val="10"/>
        <rFont val="宋体"/>
        <charset val="134"/>
      </rPr>
      <t>反应搅拌机</t>
    </r>
  </si>
  <si>
    <r>
      <rPr>
        <sz val="10"/>
        <rFont val="宋体"/>
        <charset val="134"/>
      </rPr>
      <t>搅拌桨叶直径</t>
    </r>
    <r>
      <rPr>
        <sz val="10"/>
        <rFont val="Times New Roman"/>
        <charset val="134"/>
      </rPr>
      <t>1600mm,</t>
    </r>
    <r>
      <rPr>
        <sz val="10"/>
        <rFont val="宋体"/>
        <charset val="134"/>
      </rPr>
      <t>转速</t>
    </r>
    <r>
      <rPr>
        <sz val="10"/>
        <rFont val="Times New Roman"/>
        <charset val="134"/>
      </rPr>
      <t>~23rpm,</t>
    </r>
    <r>
      <rPr>
        <sz val="10"/>
        <rFont val="宋体"/>
        <charset val="134"/>
      </rPr>
      <t>功率</t>
    </r>
    <r>
      <rPr>
        <sz val="10"/>
        <rFont val="Times New Roman"/>
        <charset val="134"/>
      </rPr>
      <t>7.5kW,</t>
    </r>
    <r>
      <rPr>
        <sz val="10"/>
        <rFont val="宋体"/>
        <charset val="134"/>
      </rPr>
      <t>变频控制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搅拌叶轮不锈钢</t>
    </r>
    <r>
      <rPr>
        <sz val="10"/>
        <rFont val="Times New Roman"/>
        <charset val="134"/>
      </rPr>
      <t>SS304</t>
    </r>
  </si>
  <si>
    <r>
      <rPr>
        <sz val="10"/>
        <rFont val="宋体"/>
        <charset val="134"/>
      </rPr>
      <t>配套提供搅拌反应筒及安装附件</t>
    </r>
  </si>
  <si>
    <r>
      <rPr>
        <sz val="10"/>
        <rFont val="宋体"/>
        <charset val="134"/>
      </rPr>
      <t>刮泥机</t>
    </r>
  </si>
  <si>
    <r>
      <rPr>
        <sz val="10"/>
        <rFont val="宋体"/>
        <charset val="134"/>
      </rPr>
      <t>中心传动刮泥机</t>
    </r>
    <r>
      <rPr>
        <sz val="10"/>
        <rFont val="Times New Roman"/>
        <charset val="134"/>
      </rPr>
      <t>,D8.4m*7.0m,</t>
    </r>
    <r>
      <rPr>
        <sz val="10"/>
        <rFont val="宋体"/>
        <charset val="134"/>
      </rPr>
      <t>外缘线速度</t>
    </r>
    <r>
      <rPr>
        <sz val="10"/>
        <rFont val="Times New Roman"/>
        <charset val="134"/>
      </rPr>
      <t>~2.5m/min,</t>
    </r>
    <r>
      <rPr>
        <sz val="10"/>
        <rFont val="宋体"/>
        <charset val="134"/>
      </rPr>
      <t>功率</t>
    </r>
    <r>
      <rPr>
        <sz val="10"/>
        <rFont val="Times New Roman"/>
        <charset val="134"/>
      </rPr>
      <t>0.75kW,</t>
    </r>
    <r>
      <rPr>
        <sz val="10"/>
        <rFont val="宋体"/>
        <charset val="134"/>
      </rPr>
      <t>水下部分不锈钢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设备自带控制箱</t>
    </r>
  </si>
  <si>
    <r>
      <rPr>
        <sz val="10"/>
        <rFont val="宋体"/>
        <charset val="134"/>
      </rPr>
      <t>集水槽</t>
    </r>
  </si>
  <si>
    <r>
      <rPr>
        <sz val="10"/>
        <rFont val="Times New Roman"/>
        <charset val="134"/>
      </rPr>
      <t>BxH=260x400,L=3.8m,δ=3.0mm(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材质：不锈钢，配套适量支撑及全部安装附件</t>
    </r>
  </si>
  <si>
    <r>
      <rPr>
        <sz val="10"/>
        <rFont val="Times New Roman"/>
        <charset val="134"/>
      </rPr>
      <t>B=220mm,L=3.5m,δ=3.0mm(</t>
    </r>
    <r>
      <rPr>
        <sz val="10"/>
        <rFont val="宋体"/>
        <charset val="134"/>
      </rPr>
      <t>厚度无负误差</t>
    </r>
    <r>
      <rPr>
        <sz val="10"/>
        <rFont val="Times New Roman"/>
        <charset val="134"/>
      </rPr>
      <t>),</t>
    </r>
    <r>
      <rPr>
        <sz val="10"/>
        <rFont val="宋体"/>
        <charset val="134"/>
      </rPr>
      <t>材质：不锈钢，配套出水堰板密封垫及全部安装附件</t>
    </r>
  </si>
  <si>
    <r>
      <rPr>
        <sz val="10"/>
        <rFont val="宋体"/>
        <charset val="134"/>
      </rPr>
      <t>污泥回流泵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剩余回流泵</t>
    </r>
  </si>
  <si>
    <r>
      <rPr>
        <sz val="10"/>
        <rFont val="宋体"/>
        <charset val="134"/>
      </rPr>
      <t>偏心螺杆泵，</t>
    </r>
    <r>
      <rPr>
        <sz val="10"/>
        <rFont val="Times New Roman"/>
        <charset val="134"/>
      </rPr>
      <t>Q=30m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/h,H=20m,N=11kW</t>
    </r>
    <r>
      <rPr>
        <sz val="10"/>
        <rFont val="宋体"/>
        <charset val="134"/>
      </rPr>
      <t>，变频控制，单池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台变频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</si>
  <si>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台变频</t>
    </r>
  </si>
  <si>
    <r>
      <rPr>
        <sz val="10"/>
        <rFont val="宋体"/>
        <charset val="134"/>
      </rPr>
      <t>斜管</t>
    </r>
  </si>
  <si>
    <r>
      <rPr>
        <sz val="10"/>
        <rFont val="宋体"/>
        <charset val="134"/>
      </rPr>
      <t>斜长</t>
    </r>
    <r>
      <rPr>
        <sz val="10"/>
        <rFont val="Times New Roman"/>
        <charset val="134"/>
      </rPr>
      <t>1.2m,</t>
    </r>
    <r>
      <rPr>
        <sz val="10"/>
        <rFont val="宋体"/>
        <charset val="134"/>
      </rPr>
      <t>安装角度</t>
    </r>
    <r>
      <rPr>
        <sz val="10"/>
        <rFont val="Times New Roman"/>
        <charset val="134"/>
      </rPr>
      <t>60°,</t>
    </r>
    <r>
      <rPr>
        <sz val="10"/>
        <rFont val="宋体"/>
        <charset val="134"/>
      </rPr>
      <t>内切圆直径</t>
    </r>
    <r>
      <rPr>
        <sz val="10"/>
        <rFont val="Times New Roman"/>
        <charset val="134"/>
      </rPr>
      <t>80mm</t>
    </r>
    <r>
      <rPr>
        <sz val="10"/>
        <rFont val="宋体"/>
        <charset val="134"/>
      </rPr>
      <t>，材质</t>
    </r>
    <r>
      <rPr>
        <sz val="10"/>
        <rFont val="Times New Roman"/>
        <charset val="134"/>
      </rPr>
      <t>:PP,</t>
    </r>
    <r>
      <rPr>
        <sz val="10"/>
        <rFont val="宋体"/>
        <charset val="134"/>
      </rPr>
      <t>配套支撑、全部安装附件等</t>
    </r>
  </si>
  <si>
    <t>m2</t>
  </si>
  <si>
    <r>
      <rPr>
        <sz val="10"/>
        <rFont val="宋体"/>
        <charset val="134"/>
      </rPr>
      <t>圆闸门</t>
    </r>
  </si>
  <si>
    <r>
      <rPr>
        <sz val="10"/>
        <rFont val="宋体"/>
        <charset val="134"/>
      </rPr>
      <t>铸铁镶铜圆闸门附壁式</t>
    </r>
    <r>
      <rPr>
        <sz val="10"/>
        <rFont val="Times New Roman"/>
        <charset val="134"/>
      </rPr>
      <t>,DN600,</t>
    </r>
    <r>
      <rPr>
        <sz val="10"/>
        <rFont val="宋体"/>
        <charset val="134"/>
      </rPr>
      <t>闸门中心距池顶距离</t>
    </r>
    <r>
      <rPr>
        <sz val="10"/>
        <rFont val="Times New Roman"/>
        <charset val="134"/>
      </rPr>
      <t>6.0m,</t>
    </r>
    <r>
      <rPr>
        <sz val="10"/>
        <rFont val="宋体"/>
        <charset val="134"/>
      </rPr>
      <t>铜密封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配套手动启闭机</t>
    </r>
  </si>
  <si>
    <r>
      <rPr>
        <sz val="10"/>
        <rFont val="宋体"/>
        <charset val="134"/>
      </rPr>
      <t>渠道闸门</t>
    </r>
  </si>
  <si>
    <r>
      <rPr>
        <sz val="10"/>
        <rFont val="Times New Roman"/>
        <charset val="134"/>
      </rPr>
      <t>B1000xH3000</t>
    </r>
    <r>
      <rPr>
        <sz val="10"/>
        <rFont val="宋体"/>
        <charset val="134"/>
      </rPr>
      <t>，材质不锈钢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三面止水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配手盘式启闭机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丁晴橡胶密封</t>
    </r>
  </si>
  <si>
    <t>撇渣管</t>
  </si>
  <si>
    <r>
      <rPr>
        <sz val="10"/>
        <rFont val="Times New Roman"/>
        <charset val="134"/>
      </rPr>
      <t>DN200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L=8.4m</t>
    </r>
    <r>
      <rPr>
        <sz val="10"/>
        <rFont val="宋体"/>
        <charset val="134"/>
      </rPr>
      <t>，管中心距池顶</t>
    </r>
    <r>
      <rPr>
        <sz val="10"/>
        <rFont val="Times New Roman"/>
        <charset val="134"/>
      </rPr>
      <t>1.0m</t>
    </r>
    <r>
      <rPr>
        <sz val="10"/>
        <rFont val="宋体"/>
        <charset val="134"/>
      </rPr>
      <t>，单头通；配套手动启闭机</t>
    </r>
  </si>
  <si>
    <r>
      <rPr>
        <sz val="10"/>
        <rFont val="宋体"/>
        <charset val="134"/>
      </rPr>
      <t>七、接触消毒池、巴氏计量槽及出水在线监测室</t>
    </r>
  </si>
  <si>
    <r>
      <rPr>
        <sz val="10"/>
        <rFont val="宋体"/>
        <charset val="134"/>
      </rPr>
      <t>高压多级偏心泵</t>
    </r>
  </si>
  <si>
    <t>Q=25m[3]/h,H=40m,N=5.5KW</t>
  </si>
  <si>
    <r>
      <rPr>
        <sz val="10"/>
        <rFont val="宋体"/>
        <charset val="134"/>
      </rPr>
      <t>带安装附件，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备，技术参数需与复合二氧化氯匹配</t>
    </r>
    <r>
      <rPr>
        <sz val="10"/>
        <rFont val="Times New Roman"/>
        <charset val="134"/>
      </rPr>
      <t xml:space="preserve"> </t>
    </r>
  </si>
  <si>
    <t>Q=15m[3]/h,H=55m,N=7.5KW</t>
  </si>
  <si>
    <r>
      <rPr>
        <sz val="10"/>
        <rFont val="宋体"/>
        <charset val="134"/>
      </rPr>
      <t>带安装附件，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备，技术参数需与脱水机匹配</t>
    </r>
  </si>
  <si>
    <r>
      <rPr>
        <sz val="10"/>
        <rFont val="宋体"/>
        <charset val="134"/>
      </rPr>
      <t>变频恒压供水设备</t>
    </r>
  </si>
  <si>
    <t>Q=50m[3]/h,H=40m,N=7.5KW</t>
  </si>
  <si>
    <r>
      <rPr>
        <sz val="10"/>
        <rFont val="宋体"/>
        <charset val="134"/>
      </rPr>
      <t>带安装附件</t>
    </r>
    <r>
      <rPr>
        <sz val="10"/>
        <rFont val="Times New Roman"/>
        <charset val="134"/>
      </rPr>
      <t>,1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冷备，除臭喷淋水及中水</t>
    </r>
  </si>
  <si>
    <r>
      <rPr>
        <sz val="10"/>
        <rFont val="宋体"/>
        <charset val="134"/>
      </rPr>
      <t>排污泵</t>
    </r>
  </si>
  <si>
    <r>
      <rPr>
        <sz val="10"/>
        <rFont val="宋体"/>
        <charset val="134"/>
      </rPr>
      <t>潜污泵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流量</t>
    </r>
    <r>
      <rPr>
        <sz val="10"/>
        <rFont val="Times New Roman"/>
        <charset val="134"/>
      </rPr>
      <t>7m[3]/h,</t>
    </r>
    <r>
      <rPr>
        <sz val="10"/>
        <rFont val="宋体"/>
        <charset val="134"/>
      </rPr>
      <t>扬程</t>
    </r>
    <r>
      <rPr>
        <sz val="10"/>
        <rFont val="Times New Roman"/>
        <charset val="134"/>
      </rPr>
      <t>10m,</t>
    </r>
    <r>
      <rPr>
        <sz val="10"/>
        <rFont val="宋体"/>
        <charset val="134"/>
      </rPr>
      <t>功率</t>
    </r>
    <r>
      <rPr>
        <sz val="10"/>
        <rFont val="Times New Roman"/>
        <charset val="134"/>
      </rPr>
      <t>1.1kW,</t>
    </r>
    <r>
      <rPr>
        <sz val="10"/>
        <rFont val="宋体"/>
        <charset val="134"/>
      </rPr>
      <t>硬管移动式安装</t>
    </r>
  </si>
  <si>
    <r>
      <rPr>
        <sz val="10"/>
        <rFont val="宋体"/>
        <charset val="134"/>
      </rPr>
      <t>铸铁镶铜方闸门</t>
    </r>
  </si>
  <si>
    <r>
      <rPr>
        <sz val="10"/>
        <rFont val="Times New Roman"/>
        <charset val="134"/>
      </rPr>
      <t>L×H=1000×1000mm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H=4000mm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</si>
  <si>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套</t>
    </r>
    <r>
      <rPr>
        <sz val="10"/>
        <rFont val="Times New Roman"/>
        <charset val="134"/>
      </rPr>
      <t>H</t>
    </r>
    <r>
      <rPr>
        <sz val="10"/>
        <rFont val="宋体"/>
        <charset val="134"/>
      </rPr>
      <t>为洞孔中心距顶部距离，配套手动启闭机正向水压</t>
    </r>
  </si>
  <si>
    <r>
      <rPr>
        <sz val="10"/>
        <rFont val="宋体"/>
        <charset val="134"/>
      </rPr>
      <t>巴氏计量槽</t>
    </r>
  </si>
  <si>
    <r>
      <rPr>
        <sz val="10"/>
        <rFont val="宋体"/>
        <charset val="134"/>
      </rPr>
      <t>吼宽</t>
    </r>
    <r>
      <rPr>
        <sz val="10"/>
        <rFont val="Times New Roman"/>
        <charset val="134"/>
      </rPr>
      <t>0.6m</t>
    </r>
    <r>
      <rPr>
        <sz val="10"/>
        <rFont val="宋体"/>
        <charset val="134"/>
      </rPr>
      <t>，量程</t>
    </r>
    <r>
      <rPr>
        <sz val="10"/>
        <rFont val="Times New Roman"/>
        <charset val="134"/>
      </rPr>
      <t>12.5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850L/s</t>
    </r>
  </si>
  <si>
    <r>
      <rPr>
        <sz val="10"/>
        <rFont val="宋体"/>
        <charset val="134"/>
      </rPr>
      <t>配套超声波明渠流量计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量程</t>
    </r>
    <r>
      <rPr>
        <sz val="10"/>
        <rFont val="Times New Roman"/>
        <charset val="134"/>
      </rPr>
      <t>12.5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850L/s</t>
    </r>
  </si>
  <si>
    <r>
      <rPr>
        <sz val="10"/>
        <rFont val="宋体"/>
        <charset val="134"/>
      </rPr>
      <t>出水取样泵</t>
    </r>
  </si>
  <si>
    <r>
      <rPr>
        <sz val="10"/>
        <rFont val="宋体"/>
        <charset val="134"/>
      </rPr>
      <t>出水</t>
    </r>
    <r>
      <rPr>
        <sz val="10"/>
        <rFont val="Times New Roman"/>
        <charset val="134"/>
      </rPr>
      <t>COD</t>
    </r>
    <r>
      <rPr>
        <sz val="10"/>
        <rFont val="宋体"/>
        <charset val="134"/>
      </rPr>
      <t>、氨氮仪表厂家配套，</t>
    </r>
    <r>
      <rPr>
        <sz val="10"/>
        <rFont val="Times New Roman"/>
        <charset val="134"/>
      </rPr>
      <t>220V</t>
    </r>
    <r>
      <rPr>
        <sz val="10"/>
        <rFont val="宋体"/>
        <charset val="134"/>
      </rPr>
      <t>电源供电</t>
    </r>
  </si>
  <si>
    <r>
      <rPr>
        <sz val="10"/>
        <rFont val="宋体"/>
        <charset val="134"/>
      </rPr>
      <t>安装在出水在线监测室</t>
    </r>
  </si>
  <si>
    <r>
      <rPr>
        <sz val="10"/>
        <rFont val="宋体"/>
        <charset val="134"/>
      </rPr>
      <t>八、鼓风机房</t>
    </r>
  </si>
  <si>
    <r>
      <rPr>
        <sz val="10"/>
        <rFont val="宋体"/>
        <charset val="134"/>
      </rPr>
      <t>单台风量</t>
    </r>
    <r>
      <rPr>
        <sz val="10"/>
        <rFont val="Times New Roman"/>
        <charset val="134"/>
      </rPr>
      <t>46m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/min,</t>
    </r>
    <r>
      <rPr>
        <sz val="10"/>
        <rFont val="宋体"/>
        <charset val="134"/>
      </rPr>
      <t>风压</t>
    </r>
    <r>
      <rPr>
        <sz val="10"/>
        <rFont val="Times New Roman"/>
        <charset val="134"/>
      </rPr>
      <t>78.4kpa,</t>
    </r>
    <r>
      <rPr>
        <sz val="10"/>
        <rFont val="宋体"/>
        <charset val="134"/>
      </rPr>
      <t>最大输出功率</t>
    </r>
    <r>
      <rPr>
        <sz val="10"/>
        <rFont val="Times New Roman"/>
        <charset val="134"/>
      </rPr>
      <t>90kW;</t>
    </r>
    <r>
      <rPr>
        <sz val="10"/>
        <rFont val="宋体"/>
        <charset val="134"/>
      </rPr>
      <t>配套变频电机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包含压力表、安全阀、止回阀、进口消音器过滤器、出水消音器等必要配件</t>
    </r>
  </si>
  <si>
    <t>电动蝶阀</t>
  </si>
  <si>
    <t>DN300</t>
  </si>
  <si>
    <t>套</t>
  </si>
  <si>
    <t>鼓风机出风管配套一控二</t>
  </si>
  <si>
    <t>DN200</t>
  </si>
  <si>
    <t>鼓风机放空管配套一控二</t>
  </si>
  <si>
    <r>
      <rPr>
        <sz val="10"/>
        <rFont val="宋体"/>
        <charset val="134"/>
      </rPr>
      <t>九、加氯加药间</t>
    </r>
  </si>
  <si>
    <r>
      <rPr>
        <sz val="10"/>
        <rFont val="Times New Roman"/>
        <charset val="134"/>
      </rPr>
      <t>PAC</t>
    </r>
    <r>
      <rPr>
        <sz val="10"/>
        <rFont val="宋体"/>
        <charset val="134"/>
      </rPr>
      <t>药剂储罐</t>
    </r>
  </si>
  <si>
    <t>有效容积30.8m3，直径3000mm，总高5500mm，配套液位计</t>
  </si>
  <si>
    <r>
      <rPr>
        <sz val="10"/>
        <rFont val="宋体"/>
        <charset val="134"/>
      </rPr>
      <t>用于</t>
    </r>
    <r>
      <rPr>
        <sz val="10"/>
        <rFont val="Times New Roman"/>
        <charset val="134"/>
      </rPr>
      <t>PAC</t>
    </r>
    <r>
      <rPr>
        <sz val="10"/>
        <rFont val="宋体"/>
        <charset val="134"/>
      </rPr>
      <t>药剂储存</t>
    </r>
  </si>
  <si>
    <r>
      <rPr>
        <sz val="10"/>
        <rFont val="宋体"/>
        <charset val="134"/>
      </rPr>
      <t>卸药泵</t>
    </r>
  </si>
  <si>
    <r>
      <rPr>
        <sz val="10"/>
        <rFont val="Times New Roman"/>
        <charset val="134"/>
      </rPr>
      <t>Q=30m[3]/h,H=15m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N=3.0KW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</si>
  <si>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套，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</t>
    </r>
  </si>
  <si>
    <r>
      <rPr>
        <sz val="10"/>
        <rFont val="宋体"/>
        <charset val="134"/>
      </rPr>
      <t>出药电磁阀</t>
    </r>
  </si>
  <si>
    <t>DN32</t>
  </si>
  <si>
    <r>
      <rPr>
        <sz val="10"/>
        <rFont val="Times New Roman"/>
        <charset val="134"/>
      </rPr>
      <t>PAC</t>
    </r>
    <r>
      <rPr>
        <sz val="10"/>
        <rFont val="宋体"/>
        <charset val="134"/>
      </rPr>
      <t>加药泵（隔膜计量泵）</t>
    </r>
  </si>
  <si>
    <t>Q=0~500L/h,H=0.4MPa,N=0.75KW</t>
  </si>
  <si>
    <r>
      <rPr>
        <sz val="10"/>
        <rFont val="宋体"/>
        <charset val="134"/>
      </rPr>
      <t>电磁流量计</t>
    </r>
  </si>
  <si>
    <r>
      <rPr>
        <sz val="10"/>
        <rFont val="Times New Roman"/>
        <charset val="134"/>
      </rPr>
      <t>PAC</t>
    </r>
    <r>
      <rPr>
        <sz val="10"/>
        <rFont val="宋体"/>
        <charset val="134"/>
      </rPr>
      <t>加药配套管路</t>
    </r>
  </si>
  <si>
    <r>
      <rPr>
        <sz val="10"/>
        <rFont val="Times New Roman"/>
        <charset val="134"/>
      </rPr>
      <t>PAM</t>
    </r>
    <r>
      <rPr>
        <sz val="10"/>
        <rFont val="宋体"/>
        <charset val="134"/>
      </rPr>
      <t>一体化溶药箱</t>
    </r>
  </si>
  <si>
    <r>
      <rPr>
        <sz val="10"/>
        <rFont val="宋体"/>
        <charset val="134"/>
      </rPr>
      <t>投加能力（干粉）</t>
    </r>
    <r>
      <rPr>
        <sz val="10"/>
        <rFont val="Times New Roman"/>
        <charset val="134"/>
      </rPr>
      <t>5.0kg/h</t>
    </r>
    <r>
      <rPr>
        <sz val="10"/>
        <rFont val="宋体"/>
        <charset val="134"/>
      </rPr>
      <t>，投加浓度</t>
    </r>
    <r>
      <rPr>
        <sz val="10"/>
        <rFont val="Times New Roman"/>
        <charset val="134"/>
      </rPr>
      <t>0.2%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N=2.5kW</t>
    </r>
  </si>
  <si>
    <r>
      <rPr>
        <sz val="10"/>
        <rFont val="Times New Roman"/>
        <charset val="134"/>
      </rPr>
      <t>PAM</t>
    </r>
    <r>
      <rPr>
        <sz val="10"/>
        <rFont val="宋体"/>
        <charset val="134"/>
      </rPr>
      <t>加药泵（螺杆泵）</t>
    </r>
  </si>
  <si>
    <r>
      <rPr>
        <sz val="10"/>
        <rFont val="Times New Roman"/>
        <charset val="134"/>
      </rPr>
      <t>Q=0~1500L/h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H=25m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N=1.5Kw</t>
    </r>
  </si>
  <si>
    <t>DN50</t>
  </si>
  <si>
    <r>
      <rPr>
        <sz val="10"/>
        <rFont val="Times New Roman"/>
        <charset val="134"/>
      </rPr>
      <t>PAM</t>
    </r>
    <r>
      <rPr>
        <sz val="10"/>
        <rFont val="宋体"/>
        <charset val="134"/>
      </rPr>
      <t>加药配套管路</t>
    </r>
  </si>
  <si>
    <r>
      <rPr>
        <sz val="10"/>
        <rFont val="宋体"/>
        <charset val="134"/>
      </rPr>
      <t>二氧化氯发生器</t>
    </r>
  </si>
  <si>
    <r>
      <rPr>
        <sz val="10"/>
        <rFont val="宋体"/>
        <charset val="134"/>
      </rPr>
      <t>有效二氧化氯产量</t>
    </r>
    <r>
      <rPr>
        <sz val="10"/>
        <rFont val="Times New Roman"/>
        <charset val="134"/>
      </rPr>
      <t>10.0kg/h,N=2.5KW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</si>
  <si>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</si>
  <si>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氯酸钠计量泵</t>
    </r>
  </si>
  <si>
    <r>
      <rPr>
        <sz val="10"/>
        <rFont val="Times New Roman"/>
        <charset val="134"/>
      </rPr>
      <t>Q=15L/h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N=0.05KW</t>
    </r>
  </si>
  <si>
    <r>
      <rPr>
        <sz val="10"/>
        <rFont val="Times New Roman"/>
        <charset val="134"/>
      </rPr>
      <t xml:space="preserve">2 </t>
    </r>
    <r>
      <rPr>
        <sz val="10"/>
        <rFont val="宋体"/>
        <charset val="134"/>
      </rPr>
      <t>与二氧化氯发生器主机配套</t>
    </r>
  </si>
  <si>
    <r>
      <rPr>
        <sz val="10"/>
        <rFont val="宋体"/>
        <charset val="134"/>
      </rPr>
      <t>盐酸计量泵</t>
    </r>
  </si>
  <si>
    <r>
      <rPr>
        <sz val="10"/>
        <rFont val="宋体"/>
        <charset val="134"/>
      </rPr>
      <t>卸酸泵</t>
    </r>
  </si>
  <si>
    <r>
      <rPr>
        <sz val="10"/>
        <rFont val="Times New Roman"/>
        <charset val="134"/>
      </rPr>
      <t>Q=18m[3]/h,H=10m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N=1.5KW</t>
    </r>
  </si>
  <si>
    <r>
      <rPr>
        <sz val="10"/>
        <rFont val="Times New Roman"/>
        <charset val="134"/>
      </rPr>
      <t xml:space="preserve">1 </t>
    </r>
    <r>
      <rPr>
        <sz val="10"/>
        <rFont val="宋体"/>
        <charset val="134"/>
      </rPr>
      <t>与二氧化氯发生器配套</t>
    </r>
  </si>
  <si>
    <r>
      <rPr>
        <sz val="10"/>
        <rFont val="宋体"/>
        <charset val="134"/>
      </rPr>
      <t>氯酸钠储罐</t>
    </r>
  </si>
  <si>
    <r>
      <rPr>
        <sz val="10"/>
        <rFont val="Times New Roman"/>
        <charset val="134"/>
      </rPr>
      <t>V=5m[3], D=1.85m</t>
    </r>
    <r>
      <rPr>
        <sz val="10"/>
        <rFont val="宋体"/>
        <charset val="134"/>
      </rPr>
      <t>，总高</t>
    </r>
    <r>
      <rPr>
        <sz val="10"/>
        <rFont val="Times New Roman"/>
        <charset val="134"/>
      </rPr>
      <t>2.2m</t>
    </r>
    <r>
      <rPr>
        <sz val="10"/>
        <rFont val="宋体"/>
        <charset val="134"/>
      </rPr>
      <t>，配套液位计</t>
    </r>
  </si>
  <si>
    <r>
      <rPr>
        <sz val="10"/>
        <rFont val="宋体"/>
        <charset val="134"/>
      </rPr>
      <t>盐酸储罐</t>
    </r>
  </si>
  <si>
    <r>
      <rPr>
        <sz val="10"/>
        <rFont val="宋体"/>
        <charset val="134"/>
      </rPr>
      <t>氯酸钠化料器</t>
    </r>
  </si>
  <si>
    <r>
      <rPr>
        <sz val="10"/>
        <rFont val="宋体"/>
        <charset val="134"/>
      </rPr>
      <t>溶药量：</t>
    </r>
    <r>
      <rPr>
        <sz val="10"/>
        <rFont val="Times New Roman"/>
        <charset val="134"/>
      </rPr>
      <t>100kg/</t>
    </r>
    <r>
      <rPr>
        <sz val="10"/>
        <rFont val="宋体"/>
        <charset val="134"/>
      </rPr>
      <t>次，</t>
    </r>
    <r>
      <rPr>
        <sz val="10"/>
        <rFont val="Times New Roman"/>
        <charset val="134"/>
      </rPr>
      <t>N=1.5KW</t>
    </r>
  </si>
  <si>
    <r>
      <rPr>
        <sz val="10"/>
        <rFont val="宋体"/>
        <charset val="134"/>
      </rPr>
      <t>水射器、单向阀</t>
    </r>
  </si>
  <si>
    <r>
      <rPr>
        <sz val="10"/>
        <rFont val="Times New Roman"/>
        <charset val="134"/>
      </rPr>
      <t>Q=16m[3]/h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H=35m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</si>
  <si>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备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与二氧化氯发生器配套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</si>
  <si>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酸雾吸收器</t>
    </r>
  </si>
  <si>
    <r>
      <rPr>
        <sz val="10"/>
        <rFont val="宋体"/>
        <charset val="134"/>
      </rPr>
      <t>直径</t>
    </r>
    <r>
      <rPr>
        <sz val="10"/>
        <rFont val="Times New Roman"/>
        <charset val="134"/>
      </rPr>
      <t>400</t>
    </r>
  </si>
  <si>
    <r>
      <rPr>
        <sz val="10"/>
        <rFont val="Times New Roman"/>
        <charset val="134"/>
      </rPr>
      <t xml:space="preserve">1 </t>
    </r>
    <r>
      <rPr>
        <sz val="10"/>
        <rFont val="宋体"/>
        <charset val="134"/>
      </rPr>
      <t>与盐酸储罐配套</t>
    </r>
  </si>
  <si>
    <r>
      <rPr>
        <sz val="10"/>
        <rFont val="宋体"/>
        <charset val="134"/>
      </rPr>
      <t>余氯分析仪</t>
    </r>
  </si>
  <si>
    <t>0-10PPM</t>
  </si>
  <si>
    <r>
      <rPr>
        <sz val="10"/>
        <rFont val="宋体"/>
        <charset val="134"/>
      </rPr>
      <t>二氧化氯配套管路</t>
    </r>
  </si>
  <si>
    <r>
      <rPr>
        <sz val="10"/>
        <rFont val="宋体"/>
        <charset val="134"/>
      </rPr>
      <t>二氧化氯泄漏报警器</t>
    </r>
  </si>
  <si>
    <r>
      <rPr>
        <sz val="10"/>
        <rFont val="宋体"/>
        <charset val="134"/>
      </rPr>
      <t>防毒面具</t>
    </r>
  </si>
  <si>
    <r>
      <rPr>
        <sz val="10"/>
        <rFont val="宋体"/>
        <charset val="134"/>
      </rPr>
      <t>工具箱</t>
    </r>
  </si>
  <si>
    <r>
      <rPr>
        <sz val="10"/>
        <rFont val="宋体"/>
        <charset val="134"/>
      </rPr>
      <t>控制柜</t>
    </r>
  </si>
  <si>
    <r>
      <rPr>
        <sz val="10"/>
        <rFont val="宋体"/>
        <charset val="134"/>
      </rPr>
      <t>洗眼器</t>
    </r>
  </si>
  <si>
    <r>
      <rPr>
        <sz val="10"/>
        <rFont val="宋体"/>
        <charset val="134"/>
      </rPr>
      <t>十、污泥浓缩脱水间</t>
    </r>
  </si>
  <si>
    <r>
      <rPr>
        <sz val="10"/>
        <rFont val="宋体"/>
        <charset val="134"/>
      </rPr>
      <t>带式浓缩脱水机</t>
    </r>
  </si>
  <si>
    <r>
      <rPr>
        <sz val="10"/>
        <rFont val="宋体"/>
        <charset val="134"/>
      </rPr>
      <t>带宽</t>
    </r>
    <r>
      <rPr>
        <sz val="10"/>
        <rFont val="Times New Roman"/>
        <charset val="134"/>
      </rPr>
      <t>2m,</t>
    </r>
    <r>
      <rPr>
        <sz val="10"/>
        <rFont val="宋体"/>
        <charset val="134"/>
      </rPr>
      <t>处理能力不小于</t>
    </r>
    <r>
      <rPr>
        <sz val="10"/>
        <rFont val="Times New Roman"/>
        <charset val="134"/>
      </rPr>
      <t>38m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/h(</t>
    </r>
    <r>
      <rPr>
        <sz val="10"/>
        <rFont val="宋体"/>
        <charset val="134"/>
      </rPr>
      <t>含水率</t>
    </r>
    <r>
      <rPr>
        <sz val="10"/>
        <rFont val="Times New Roman"/>
        <charset val="134"/>
      </rPr>
      <t>99%</t>
    </r>
    <r>
      <rPr>
        <sz val="10"/>
        <rFont val="宋体"/>
        <charset val="134"/>
      </rPr>
      <t>计）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带机浓缩段与压滤段相对独立，浓缩段出泥含水率</t>
    </r>
    <r>
      <rPr>
        <sz val="10"/>
        <rFont val="Times New Roman"/>
        <charset val="134"/>
      </rPr>
      <t>95%;</t>
    </r>
    <r>
      <rPr>
        <sz val="10"/>
        <rFont val="宋体"/>
        <charset val="134"/>
      </rPr>
      <t>总配电功率</t>
    </r>
    <r>
      <rPr>
        <sz val="10"/>
        <rFont val="Times New Roman"/>
        <charset val="134"/>
      </rPr>
      <t>1.5kW;</t>
    </r>
    <r>
      <rPr>
        <sz val="10"/>
        <rFont val="宋体"/>
        <charset val="134"/>
      </rPr>
      <t>设备自带控制箱</t>
    </r>
  </si>
  <si>
    <r>
      <rPr>
        <sz val="10"/>
        <rFont val="宋体"/>
        <charset val="134"/>
      </rPr>
      <t>空气压缩机</t>
    </r>
  </si>
  <si>
    <r>
      <rPr>
        <sz val="10"/>
        <rFont val="宋体"/>
        <charset val="134"/>
      </rPr>
      <t>排气量：</t>
    </r>
    <r>
      <rPr>
        <sz val="10"/>
        <rFont val="Times New Roman"/>
        <charset val="134"/>
      </rPr>
      <t>0.36m /min,</t>
    </r>
    <r>
      <rPr>
        <sz val="10"/>
        <rFont val="宋体"/>
        <charset val="134"/>
      </rPr>
      <t>压力</t>
    </r>
    <r>
      <rPr>
        <sz val="10"/>
        <rFont val="Times New Roman"/>
        <charset val="134"/>
      </rPr>
      <t>0.8MPa,</t>
    </r>
    <r>
      <rPr>
        <sz val="10"/>
        <rFont val="宋体"/>
        <charset val="134"/>
      </rPr>
      <t>功率</t>
    </r>
    <r>
      <rPr>
        <sz val="10"/>
        <rFont val="Times New Roman"/>
        <charset val="134"/>
      </rPr>
      <t>3kW</t>
    </r>
  </si>
  <si>
    <r>
      <rPr>
        <sz val="10"/>
        <rFont val="宋体"/>
        <charset val="134"/>
      </rPr>
      <t>水平螺旋输送机</t>
    </r>
  </si>
  <si>
    <r>
      <rPr>
        <sz val="10"/>
        <rFont val="宋体"/>
        <charset val="134"/>
      </rPr>
      <t>无轴螺旋输送机；螺旋直径</t>
    </r>
    <r>
      <rPr>
        <sz val="10"/>
        <rFont val="Times New Roman"/>
        <charset val="134"/>
      </rPr>
      <t>260mm</t>
    </r>
    <r>
      <rPr>
        <sz val="10"/>
        <rFont val="宋体"/>
        <charset val="134"/>
      </rPr>
      <t>，输送长度</t>
    </r>
    <r>
      <rPr>
        <sz val="10"/>
        <rFont val="Times New Roman"/>
        <charset val="134"/>
      </rPr>
      <t>9.5m</t>
    </r>
    <r>
      <rPr>
        <sz val="10"/>
        <rFont val="宋体"/>
        <charset val="134"/>
      </rPr>
      <t>，安装角度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1.5kW</t>
    </r>
  </si>
  <si>
    <r>
      <rPr>
        <sz val="10"/>
        <rFont val="宋体"/>
        <charset val="134"/>
      </rPr>
      <t>倾斜螺旋输送机</t>
    </r>
  </si>
  <si>
    <r>
      <rPr>
        <sz val="10"/>
        <rFont val="宋体"/>
        <charset val="134"/>
      </rPr>
      <t>无轴螺旋输送机；螺旋直径</t>
    </r>
    <r>
      <rPr>
        <sz val="10"/>
        <rFont val="Times New Roman"/>
        <charset val="134"/>
      </rPr>
      <t>260mm</t>
    </r>
    <r>
      <rPr>
        <sz val="10"/>
        <rFont val="宋体"/>
        <charset val="134"/>
      </rPr>
      <t>，输送长度</t>
    </r>
    <r>
      <rPr>
        <sz val="10"/>
        <rFont val="Times New Roman"/>
        <charset val="134"/>
      </rPr>
      <t>8.2m</t>
    </r>
    <r>
      <rPr>
        <sz val="10"/>
        <rFont val="宋体"/>
        <charset val="134"/>
      </rPr>
      <t>，安装角度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2.2kW</t>
    </r>
  </si>
  <si>
    <r>
      <rPr>
        <sz val="10"/>
        <rFont val="Times New Roman"/>
        <charset val="134"/>
      </rPr>
      <t>PAM</t>
    </r>
    <r>
      <rPr>
        <sz val="10"/>
        <rFont val="宋体"/>
        <charset val="134"/>
      </rPr>
      <t>一体化制备设备</t>
    </r>
  </si>
  <si>
    <r>
      <rPr>
        <sz val="10"/>
        <rFont val="宋体"/>
        <charset val="134"/>
      </rPr>
      <t>干粉制备能力</t>
    </r>
    <r>
      <rPr>
        <sz val="10"/>
        <rFont val="Times New Roman"/>
        <charset val="134"/>
      </rPr>
      <t>2.4kg/h</t>
    </r>
    <r>
      <rPr>
        <sz val="10"/>
        <rFont val="宋体"/>
        <charset val="134"/>
      </rPr>
      <t>，投加浓度</t>
    </r>
    <r>
      <rPr>
        <sz val="10"/>
        <rFont val="Times New Roman"/>
        <charset val="134"/>
      </rPr>
      <t>0.1%;</t>
    </r>
    <r>
      <rPr>
        <sz val="10"/>
        <rFont val="宋体"/>
        <charset val="134"/>
      </rPr>
      <t>总配电功率</t>
    </r>
    <r>
      <rPr>
        <sz val="10"/>
        <rFont val="Times New Roman"/>
        <charset val="134"/>
      </rPr>
      <t>2.0kW;</t>
    </r>
    <r>
      <rPr>
        <sz val="10"/>
        <rFont val="宋体"/>
        <charset val="134"/>
      </rPr>
      <t>成套设备，配套干粉进料机、搅拌器、螺杆泵等设备，厂家自带控制箱，成套设备内部所有管路、阀门、管件、安装件等由厂家配套供应</t>
    </r>
  </si>
  <si>
    <r>
      <rPr>
        <sz val="10"/>
        <rFont val="宋体"/>
        <charset val="134"/>
      </rPr>
      <t>用于污泥脱水</t>
    </r>
    <r>
      <rPr>
        <sz val="10"/>
        <rFont val="Times New Roman"/>
        <charset val="134"/>
      </rPr>
      <t>PAM</t>
    </r>
    <r>
      <rPr>
        <sz val="10"/>
        <rFont val="宋体"/>
        <charset val="134"/>
      </rPr>
      <t>、药剂制备</t>
    </r>
  </si>
  <si>
    <r>
      <rPr>
        <sz val="10"/>
        <rFont val="宋体"/>
        <charset val="134"/>
      </rPr>
      <t>加药泵</t>
    </r>
  </si>
  <si>
    <r>
      <rPr>
        <sz val="10"/>
        <rFont val="宋体"/>
        <charset val="134"/>
      </rPr>
      <t>螺杆泵；流量</t>
    </r>
    <r>
      <rPr>
        <sz val="10"/>
        <rFont val="Times New Roman"/>
        <charset val="134"/>
      </rPr>
      <t>1.6m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</t>
    </r>
    <r>
      <rPr>
        <sz val="10"/>
        <rFont val="宋体"/>
        <charset val="134"/>
      </rPr>
      <t>，压力</t>
    </r>
    <r>
      <rPr>
        <sz val="10"/>
        <rFont val="Times New Roman"/>
        <charset val="134"/>
      </rPr>
      <t>1.6kPa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5.5kW</t>
    </r>
    <r>
      <rPr>
        <sz val="10"/>
        <rFont val="宋体"/>
        <charset val="134"/>
      </rPr>
      <t>，变频</t>
    </r>
    <r>
      <rPr>
        <sz val="10"/>
        <rFont val="Times New Roman"/>
        <charset val="134"/>
      </rPr>
      <t>;PAM</t>
    </r>
    <r>
      <rPr>
        <sz val="10"/>
        <rFont val="宋体"/>
        <charset val="134"/>
      </rPr>
      <t>加药装置厂家平配套供应</t>
    </r>
  </si>
  <si>
    <r>
      <rPr>
        <sz val="10"/>
        <rFont val="宋体"/>
        <charset val="134"/>
      </rPr>
      <t>污泥泵</t>
    </r>
  </si>
  <si>
    <r>
      <rPr>
        <sz val="10"/>
        <rFont val="宋体"/>
        <charset val="134"/>
      </rPr>
      <t>螺杆泵；流量</t>
    </r>
    <r>
      <rPr>
        <sz val="10"/>
        <rFont val="Times New Roman"/>
        <charset val="134"/>
      </rPr>
      <t>30m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</t>
    </r>
    <r>
      <rPr>
        <sz val="10"/>
        <rFont val="宋体"/>
        <charset val="134"/>
      </rPr>
      <t>，出口压力</t>
    </r>
    <r>
      <rPr>
        <sz val="10"/>
        <rFont val="Times New Roman"/>
        <charset val="134"/>
      </rPr>
      <t>0.3kPa</t>
    </r>
    <r>
      <rPr>
        <sz val="10"/>
        <rFont val="宋体"/>
        <charset val="134"/>
      </rPr>
      <t>，功率</t>
    </r>
    <r>
      <rPr>
        <sz val="10"/>
        <rFont val="Times New Roman"/>
        <charset val="134"/>
      </rPr>
      <t>7.5kW</t>
    </r>
    <r>
      <rPr>
        <sz val="10"/>
        <rFont val="宋体"/>
        <charset val="134"/>
      </rPr>
      <t>，变频</t>
    </r>
    <r>
      <rPr>
        <sz val="10"/>
        <rFont val="Times New Roman"/>
        <charset val="134"/>
      </rPr>
      <t>;</t>
    </r>
  </si>
  <si>
    <r>
      <rPr>
        <sz val="10"/>
        <rFont val="宋体"/>
        <charset val="134"/>
      </rPr>
      <t>十、除臭系统</t>
    </r>
  </si>
  <si>
    <r>
      <rPr>
        <sz val="10"/>
        <rFont val="宋体"/>
        <charset val="134"/>
      </rPr>
      <t>生物除臭成套装置</t>
    </r>
  </si>
  <si>
    <r>
      <rPr>
        <sz val="10"/>
        <rFont val="宋体"/>
        <charset val="134"/>
      </rPr>
      <t>处理总风量</t>
    </r>
    <r>
      <rPr>
        <sz val="10"/>
        <rFont val="Times New Roman"/>
        <charset val="134"/>
      </rPr>
      <t>5000m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 W×L×H=4×8×3.3(m)</t>
    </r>
  </si>
  <si>
    <r>
      <rPr>
        <sz val="10"/>
        <rFont val="宋体"/>
        <charset val="134"/>
      </rPr>
      <t>除臭风机</t>
    </r>
  </si>
  <si>
    <r>
      <rPr>
        <sz val="10"/>
        <rFont val="Times New Roman"/>
        <charset val="134"/>
      </rPr>
      <t>Q=5000m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/hr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P=2200Pa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5.5KW</t>
    </r>
    <r>
      <rPr>
        <sz val="10"/>
        <rFont val="宋体"/>
        <charset val="134"/>
      </rPr>
      <t>（含隔音箱）</t>
    </r>
  </si>
  <si>
    <r>
      <rPr>
        <sz val="10"/>
        <rFont val="宋体"/>
        <charset val="134"/>
      </rPr>
      <t>散水泵</t>
    </r>
  </si>
  <si>
    <r>
      <rPr>
        <sz val="10"/>
        <rFont val="Times New Roman"/>
        <charset val="134"/>
      </rPr>
      <t>20m3/h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2.2kW</t>
    </r>
  </si>
  <si>
    <r>
      <rPr>
        <sz val="10"/>
        <rFont val="宋体"/>
        <charset val="134"/>
      </rPr>
      <t>循环泵</t>
    </r>
  </si>
  <si>
    <r>
      <rPr>
        <sz val="10"/>
        <rFont val="Times New Roman"/>
        <charset val="134"/>
      </rPr>
      <t>15m3/h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20m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2.2kW</t>
    </r>
  </si>
  <si>
    <r>
      <rPr>
        <sz val="10"/>
        <rFont val="宋体"/>
        <charset val="134"/>
      </rPr>
      <t>储水箱</t>
    </r>
  </si>
  <si>
    <t>PT-1500L</t>
  </si>
  <si>
    <r>
      <rPr>
        <sz val="10"/>
        <rFont val="宋体"/>
        <charset val="134"/>
      </rPr>
      <t>电动阀</t>
    </r>
  </si>
  <si>
    <t>DN65</t>
  </si>
  <si>
    <r>
      <rPr>
        <sz val="10"/>
        <rFont val="宋体"/>
        <charset val="134"/>
      </rPr>
      <t>电控箱</t>
    </r>
  </si>
  <si>
    <r>
      <rPr>
        <sz val="10"/>
        <rFont val="宋体"/>
        <charset val="134"/>
      </rPr>
      <t>粗格栅提升泵池除臭管路</t>
    </r>
  </si>
  <si>
    <r>
      <rPr>
        <sz val="10"/>
        <rFont val="宋体"/>
        <charset val="134"/>
      </rPr>
      <t>细格栅曝气沉砂池除臭管路</t>
    </r>
  </si>
  <si>
    <r>
      <rPr>
        <sz val="10"/>
        <rFont val="宋体"/>
        <charset val="134"/>
      </rPr>
      <t>脱水机房除臭管路</t>
    </r>
  </si>
  <si>
    <r>
      <rPr>
        <sz val="10"/>
        <rFont val="宋体"/>
        <charset val="134"/>
      </rPr>
      <t>污泥储池除臭管路</t>
    </r>
  </si>
  <si>
    <r>
      <rPr>
        <sz val="10"/>
        <rFont val="宋体"/>
        <charset val="134"/>
      </rPr>
      <t>合计</t>
    </r>
  </si>
  <si>
    <r>
      <rPr>
        <b/>
        <sz val="10"/>
        <rFont val="宋体"/>
        <charset val="134"/>
      </rPr>
      <t>电气设备</t>
    </r>
  </si>
  <si>
    <r>
      <rPr>
        <sz val="10"/>
        <rFont val="宋体"/>
        <charset val="134"/>
      </rPr>
      <t>高压配电柜</t>
    </r>
  </si>
  <si>
    <r>
      <rPr>
        <sz val="10"/>
        <rFont val="Times New Roman"/>
        <charset val="134"/>
      </rPr>
      <t xml:space="preserve">KYN28-12 </t>
    </r>
    <r>
      <rPr>
        <sz val="10"/>
        <rFont val="宋体"/>
        <charset val="134"/>
      </rPr>
      <t>（详见系统图）</t>
    </r>
  </si>
  <si>
    <r>
      <rPr>
        <sz val="10"/>
        <rFont val="Times New Roman"/>
        <charset val="134"/>
      </rPr>
      <t>40AH</t>
    </r>
    <r>
      <rPr>
        <sz val="10"/>
        <rFont val="宋体"/>
        <charset val="134"/>
      </rPr>
      <t>微机直流屏（含中央信号装置）</t>
    </r>
  </si>
  <si>
    <t>HYZ-40/220-2</t>
  </si>
  <si>
    <r>
      <rPr>
        <sz val="10"/>
        <rFont val="宋体"/>
        <charset val="134"/>
      </rPr>
      <t>随高压柜配套</t>
    </r>
  </si>
  <si>
    <r>
      <rPr>
        <sz val="10"/>
        <rFont val="宋体"/>
        <charset val="134"/>
      </rPr>
      <t>电力变压器（柜）</t>
    </r>
  </si>
  <si>
    <t>SCB11-400kVA/10/0.4kV 
D.Yn11</t>
  </si>
  <si>
    <r>
      <rPr>
        <sz val="10"/>
        <rFont val="宋体"/>
        <charset val="134"/>
      </rPr>
      <t>配温控系统</t>
    </r>
  </si>
  <si>
    <r>
      <rPr>
        <sz val="10"/>
        <rFont val="宋体"/>
        <charset val="134"/>
      </rPr>
      <t xml:space="preserve">变配电室低压配电柜</t>
    </r>
    <r>
      <rPr>
        <sz val="10"/>
        <rFont val="Times New Roman"/>
        <charset val="134"/>
      </rPr>
      <t>AN01-AN09</t>
    </r>
  </si>
  <si>
    <r>
      <rPr>
        <sz val="10"/>
        <rFont val="Times New Roman"/>
        <charset val="134"/>
      </rPr>
      <t>MNS</t>
    </r>
    <r>
      <rPr>
        <sz val="10"/>
        <rFont val="宋体"/>
        <charset val="134"/>
      </rPr>
      <t>（详见系统图）</t>
    </r>
  </si>
  <si>
    <r>
      <rPr>
        <sz val="10"/>
        <rFont val="宋体"/>
        <charset val="134"/>
      </rPr>
      <t>联络母线槽</t>
    </r>
  </si>
  <si>
    <t>1600A</t>
  </si>
  <si>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</si>
  <si>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数量实测为准</t>
    </r>
    <r>
      <rPr>
        <sz val="10"/>
        <rFont val="Times New Roman"/>
        <charset val="134"/>
      </rPr>
      <t xml:space="preserve"> 
</t>
    </r>
    <r>
      <rPr>
        <sz val="10"/>
        <rFont val="宋体"/>
        <charset val="134"/>
      </rPr>
      <t>配套连接附件</t>
    </r>
  </si>
  <si>
    <r>
      <rPr>
        <sz val="10"/>
        <rFont val="Times New Roman"/>
        <charset val="134"/>
      </rPr>
      <t>MCC</t>
    </r>
    <r>
      <rPr>
        <sz val="10"/>
        <rFont val="宋体"/>
        <charset val="134"/>
      </rPr>
      <t xml:space="preserve">室电控柜</t>
    </r>
    <r>
      <rPr>
        <sz val="10"/>
        <rFont val="Times New Roman"/>
        <charset val="134"/>
      </rPr>
      <t>1AC02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1AC03</t>
    </r>
  </si>
  <si>
    <r>
      <rPr>
        <sz val="10"/>
        <rFont val="Times New Roman"/>
        <charset val="134"/>
      </rPr>
      <t>GGD</t>
    </r>
    <r>
      <rPr>
        <sz val="10"/>
        <rFont val="宋体"/>
        <charset val="134"/>
      </rPr>
      <t>（详见系统图）</t>
    </r>
  </si>
  <si>
    <r>
      <rPr>
        <sz val="10"/>
        <rFont val="Times New Roman"/>
        <charset val="134"/>
      </rPr>
      <t>1AC02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 xml:space="preserve">1AC03</t>
    </r>
    <r>
      <rPr>
        <sz val="10"/>
        <rFont val="宋体"/>
        <charset val="134"/>
      </rPr>
      <t>配套现场机旁按钮箱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</si>
  <si>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组合不锈钢机旁按钮箱</t>
    </r>
    <r>
      <rPr>
        <sz val="10"/>
        <rFont val="Times New Roman"/>
        <charset val="134"/>
      </rPr>
      <t>/2</t>
    </r>
    <r>
      <rPr>
        <sz val="10"/>
        <rFont val="宋体"/>
        <charset val="134"/>
      </rPr>
      <t>台
潜污泵接线箱</t>
    </r>
    <r>
      <rPr>
        <sz val="10"/>
        <rFont val="Times New Roman"/>
        <charset val="134"/>
      </rPr>
      <t>/2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</si>
  <si>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潜水设备内装防漏控制器</t>
    </r>
  </si>
  <si>
    <r>
      <rPr>
        <sz val="10"/>
        <rFont val="Times New Roman"/>
        <charset val="134"/>
      </rPr>
      <t>MCC</t>
    </r>
    <r>
      <rPr>
        <sz val="10"/>
        <rFont val="宋体"/>
        <charset val="134"/>
      </rPr>
      <t>室电控柜</t>
    </r>
    <r>
      <rPr>
        <sz val="10"/>
        <rFont val="Times New Roman"/>
        <charset val="134"/>
      </rPr>
      <t xml:space="preserve">  3AC01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3AC02</t>
    </r>
  </si>
  <si>
    <r>
      <rPr>
        <sz val="10"/>
        <rFont val="Times New Roman"/>
        <charset val="134"/>
      </rPr>
      <t>3AC01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 xml:space="preserve">3AC02 </t>
    </r>
    <r>
      <rPr>
        <sz val="10"/>
        <rFont val="宋体"/>
        <charset val="134"/>
      </rPr>
      <t>配套现场机旁按钮箱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</si>
  <si>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组合不锈钢机旁按钮箱</t>
    </r>
    <r>
      <rPr>
        <sz val="10"/>
        <rFont val="Times New Roman"/>
        <charset val="134"/>
      </rPr>
      <t>/12</t>
    </r>
    <r>
      <rPr>
        <sz val="10"/>
        <rFont val="宋体"/>
        <charset val="134"/>
      </rPr>
      <t>台</t>
    </r>
  </si>
  <si>
    <r>
      <rPr>
        <sz val="10"/>
        <rFont val="Times New Roman"/>
        <charset val="134"/>
      </rPr>
      <t>MCC</t>
    </r>
    <r>
      <rPr>
        <sz val="10"/>
        <rFont val="宋体"/>
        <charset val="134"/>
      </rPr>
      <t xml:space="preserve">室电控柜</t>
    </r>
    <r>
      <rPr>
        <sz val="10"/>
        <rFont val="Times New Roman"/>
        <charset val="134"/>
      </rPr>
      <t>11AC01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11AC02</t>
    </r>
  </si>
  <si>
    <r>
      <rPr>
        <sz val="10"/>
        <rFont val="Times New Roman"/>
        <charset val="134"/>
      </rPr>
      <t>11AC01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 xml:space="preserve">11AC02</t>
    </r>
    <r>
      <rPr>
        <sz val="10"/>
        <rFont val="宋体"/>
        <charset val="134"/>
      </rPr>
      <t>配套现场机旁按钮箱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</si>
  <si>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组合不锈钢机旁按钮箱</t>
    </r>
    <r>
      <rPr>
        <sz val="10"/>
        <rFont val="Times New Roman"/>
        <charset val="134"/>
      </rPr>
      <t>/2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</si>
  <si>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 xml:space="preserve">高效沉淀池电控柜</t>
    </r>
    <r>
      <rPr>
        <sz val="10"/>
        <rFont val="Times New Roman"/>
        <charset val="134"/>
      </rPr>
      <t>6AC01</t>
    </r>
  </si>
  <si>
    <r>
      <rPr>
        <sz val="10"/>
        <rFont val="Times New Roman"/>
        <charset val="134"/>
      </rPr>
      <t>XL21</t>
    </r>
    <r>
      <rPr>
        <sz val="10"/>
        <rFont val="宋体"/>
        <charset val="134"/>
      </rPr>
      <t>（详见系统图）</t>
    </r>
  </si>
  <si>
    <r>
      <rPr>
        <sz val="10"/>
        <rFont val="宋体"/>
        <charset val="134"/>
      </rPr>
      <t xml:space="preserve">污泥脱水间电控柜</t>
    </r>
    <r>
      <rPr>
        <sz val="10"/>
        <rFont val="Times New Roman"/>
        <charset val="134"/>
      </rPr>
      <t>10AC01</t>
    </r>
  </si>
  <si>
    <r>
      <rPr>
        <sz val="10"/>
        <rFont val="Times New Roman"/>
        <charset val="134"/>
      </rPr>
      <t xml:space="preserve">10AC01
</t>
    </r>
    <r>
      <rPr>
        <sz val="10"/>
        <rFont val="宋体"/>
        <charset val="134"/>
      </rPr>
      <t>配套现场机旁按钮箱</t>
    </r>
  </si>
  <si>
    <r>
      <rPr>
        <sz val="10"/>
        <rFont val="宋体"/>
        <charset val="134"/>
      </rPr>
      <t xml:space="preserve">加药间电控室电控柜</t>
    </r>
    <r>
      <rPr>
        <sz val="10"/>
        <rFont val="Times New Roman"/>
        <charset val="134"/>
      </rPr>
      <t>12AC01</t>
    </r>
  </si>
  <si>
    <r>
      <rPr>
        <sz val="10"/>
        <rFont val="宋体"/>
        <charset val="134"/>
      </rPr>
      <t xml:space="preserve">电源箱</t>
    </r>
    <r>
      <rPr>
        <sz val="10"/>
        <rFont val="Times New Roman"/>
        <charset val="134"/>
      </rPr>
      <t>1AC01/2AC01/7AC01</t>
    </r>
  </si>
  <si>
    <r>
      <rPr>
        <sz val="10"/>
        <rFont val="宋体"/>
        <charset val="134"/>
      </rPr>
      <t xml:space="preserve">详见系统图
</t>
    </r>
  </si>
  <si>
    <r>
      <rPr>
        <sz val="10"/>
        <rFont val="宋体"/>
        <charset val="134"/>
      </rPr>
      <t xml:space="preserve">电控箱</t>
    </r>
    <r>
      <rPr>
        <sz val="10"/>
        <rFont val="Times New Roman"/>
        <charset val="134"/>
      </rPr>
      <t>1AP01-1AP02/2AP01-2AP04/4AP01/5AP01/6AP01-6AP03/7AP01 /10AP01/11AP01-11AP02/12AP01-12AP03</t>
    </r>
  </si>
  <si>
    <r>
      <rPr>
        <sz val="10"/>
        <rFont val="宋体"/>
        <charset val="134"/>
      </rPr>
      <t>随工艺设备配套，配套自控接口</t>
    </r>
  </si>
  <si>
    <r>
      <rPr>
        <b/>
        <sz val="10"/>
        <rFont val="宋体"/>
        <charset val="134"/>
      </rPr>
      <t>自控设备</t>
    </r>
  </si>
  <si>
    <r>
      <rPr>
        <sz val="10"/>
        <rFont val="宋体"/>
        <charset val="134"/>
      </rPr>
      <t>工业级监控计算机</t>
    </r>
  </si>
  <si>
    <r>
      <rPr>
        <sz val="10"/>
        <rFont val="Times New Roman"/>
        <charset val="134"/>
      </rPr>
      <t>CPU</t>
    </r>
    <r>
      <rPr>
        <sz val="10"/>
        <rFont val="宋体"/>
        <charset val="134"/>
      </rPr>
      <t>：≥</t>
    </r>
    <r>
      <rPr>
        <sz val="10"/>
        <rFont val="Times New Roman"/>
        <charset val="134"/>
      </rPr>
      <t>P4</t>
    </r>
    <r>
      <rPr>
        <sz val="10"/>
        <rFont val="宋体"/>
        <charset val="134"/>
      </rPr>
      <t>双核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；硬盘：≥</t>
    </r>
    <r>
      <rPr>
        <sz val="10"/>
        <rFont val="Times New Roman"/>
        <charset val="134"/>
      </rPr>
      <t xml:space="preserve">1TB </t>
    </r>
    <r>
      <rPr>
        <sz val="10"/>
        <rFont val="宋体"/>
        <charset val="134"/>
      </rPr>
      <t>；内存：≥</t>
    </r>
    <r>
      <rPr>
        <sz val="10"/>
        <rFont val="Times New Roman"/>
        <charset val="134"/>
      </rPr>
      <t xml:space="preserve">4GB 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DVD</t>
    </r>
    <r>
      <rPr>
        <sz val="10"/>
        <rFont val="宋体"/>
        <charset val="134"/>
      </rPr>
      <t>刻录
配键盘显卡、声卡、</t>
    </r>
    <r>
      <rPr>
        <sz val="10"/>
        <rFont val="Times New Roman"/>
        <charset val="134"/>
      </rPr>
      <t>PLC</t>
    </r>
    <r>
      <rPr>
        <sz val="10"/>
        <rFont val="宋体"/>
        <charset val="134"/>
      </rPr>
      <t>厂商的工业以太网卡等；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英寸液晶显示器</t>
    </r>
  </si>
  <si>
    <r>
      <rPr>
        <sz val="10"/>
        <rFont val="宋体"/>
        <charset val="134"/>
      </rPr>
      <t>工业投影仪</t>
    </r>
  </si>
  <si>
    <r>
      <rPr>
        <sz val="10"/>
        <rFont val="宋体"/>
        <charset val="134"/>
      </rPr>
      <t>工业投影仪，配电动投影大幕</t>
    </r>
  </si>
  <si>
    <r>
      <rPr>
        <sz val="10"/>
        <rFont val="宋体"/>
        <charset val="134"/>
      </rPr>
      <t>工业以太环网光电交换机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</si>
  <si>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电口</t>
    </r>
    <r>
      <rPr>
        <sz val="10"/>
        <rFont val="Times New Roman"/>
        <charset val="134"/>
      </rPr>
      <t>+2</t>
    </r>
    <r>
      <rPr>
        <sz val="10"/>
        <rFont val="宋体"/>
        <charset val="134"/>
      </rPr>
      <t>光口</t>
    </r>
    <r>
      <rPr>
        <sz val="10"/>
        <rFont val="Times New Roman"/>
        <charset val="134"/>
      </rPr>
      <t>/1</t>
    </r>
    <r>
      <rPr>
        <sz val="10"/>
        <rFont val="宋体"/>
        <charset val="134"/>
      </rPr>
      <t>套；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电口</t>
    </r>
    <r>
      <rPr>
        <sz val="10"/>
        <rFont val="Times New Roman"/>
        <charset val="134"/>
      </rPr>
      <t>+2</t>
    </r>
    <r>
      <rPr>
        <sz val="10"/>
        <rFont val="宋体"/>
        <charset val="134"/>
      </rPr>
      <t>光口</t>
    </r>
    <r>
      <rPr>
        <sz val="10"/>
        <rFont val="Times New Roman"/>
        <charset val="134"/>
      </rPr>
      <t>/3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</si>
  <si>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不间断电源</t>
    </r>
    <r>
      <rPr>
        <sz val="10"/>
        <rFont val="Times New Roman"/>
        <charset val="134"/>
      </rPr>
      <t xml:space="preserve"> UPS</t>
    </r>
  </si>
  <si>
    <r>
      <rPr>
        <sz val="10"/>
        <rFont val="宋体"/>
        <charset val="134"/>
      </rPr>
      <t>输入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输出：</t>
    </r>
    <r>
      <rPr>
        <sz val="10"/>
        <rFont val="Times New Roman"/>
        <charset val="134"/>
      </rPr>
      <t>AC220V/AC220V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6KVA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分钟在线</t>
    </r>
  </si>
  <si>
    <r>
      <rPr>
        <sz val="10"/>
        <rFont val="宋体"/>
        <charset val="134"/>
      </rPr>
      <t>中控室电源箱</t>
    </r>
  </si>
  <si>
    <r>
      <rPr>
        <sz val="10"/>
        <rFont val="宋体"/>
        <charset val="134"/>
      </rPr>
      <t>见系统图</t>
    </r>
  </si>
  <si>
    <r>
      <rPr>
        <sz val="10"/>
        <rFont val="宋体"/>
        <charset val="134"/>
      </rPr>
      <t>操作桌椅</t>
    </r>
  </si>
  <si>
    <r>
      <rPr>
        <sz val="10"/>
        <rFont val="宋体"/>
        <charset val="134"/>
      </rPr>
      <t>长度≥</t>
    </r>
    <r>
      <rPr>
        <sz val="10"/>
        <rFont val="Times New Roman"/>
        <charset val="134"/>
      </rPr>
      <t>3.5</t>
    </r>
    <r>
      <rPr>
        <sz val="10"/>
        <rFont val="宋体"/>
        <charset val="134"/>
      </rPr>
      <t>米；型式按业主要求定</t>
    </r>
  </si>
  <si>
    <r>
      <rPr>
        <sz val="10"/>
        <rFont val="Times New Roman"/>
        <charset val="134"/>
      </rPr>
      <t>WINDOWS</t>
    </r>
    <r>
      <rPr>
        <sz val="10"/>
        <rFont val="宋体"/>
        <charset val="134"/>
      </rPr>
      <t>操作系统</t>
    </r>
  </si>
  <si>
    <r>
      <rPr>
        <sz val="10"/>
        <rFont val="Times New Roman"/>
        <charset val="134"/>
      </rPr>
      <t>WINDOWS 2000</t>
    </r>
    <r>
      <rPr>
        <sz val="10"/>
        <rFont val="宋体"/>
        <charset val="134"/>
      </rPr>
      <t>服务器版（配套办公、杀毒等必需的软件）</t>
    </r>
  </si>
  <si>
    <r>
      <rPr>
        <sz val="10"/>
        <rFont val="宋体"/>
        <charset val="134"/>
      </rPr>
      <t>上位监控开发软件完全版</t>
    </r>
  </si>
  <si>
    <r>
      <rPr>
        <sz val="10"/>
        <rFont val="宋体"/>
        <charset val="134"/>
      </rPr>
      <t>无限点，最新版</t>
    </r>
  </si>
  <si>
    <r>
      <rPr>
        <sz val="10"/>
        <rFont val="宋体"/>
        <charset val="134"/>
      </rPr>
      <t>系统网络附件</t>
    </r>
  </si>
  <si>
    <r>
      <rPr>
        <sz val="10"/>
        <rFont val="宋体"/>
        <charset val="134"/>
      </rPr>
      <t>按系统需要（</t>
    </r>
    <r>
      <rPr>
        <sz val="10"/>
        <rFont val="Times New Roman"/>
        <charset val="134"/>
      </rPr>
      <t>PLC</t>
    </r>
    <r>
      <rPr>
        <sz val="10"/>
        <rFont val="宋体"/>
        <charset val="134"/>
      </rPr>
      <t>厂商配套产品）</t>
    </r>
  </si>
  <si>
    <r>
      <rPr>
        <sz val="10"/>
        <rFont val="Times New Roman"/>
        <charset val="134"/>
      </rPr>
      <t>PLC</t>
    </r>
    <r>
      <rPr>
        <sz val="10"/>
        <rFont val="宋体"/>
        <charset val="134"/>
      </rPr>
      <t>编程软件（含触摸屏）</t>
    </r>
  </si>
  <si>
    <r>
      <rPr>
        <sz val="10"/>
        <rFont val="Times New Roman"/>
        <charset val="134"/>
      </rPr>
      <t>PLC</t>
    </r>
    <r>
      <rPr>
        <sz val="10"/>
        <rFont val="宋体"/>
        <charset val="134"/>
      </rPr>
      <t>配套（最新版）</t>
    </r>
  </si>
  <si>
    <r>
      <rPr>
        <sz val="10"/>
        <rFont val="宋体"/>
        <charset val="134"/>
      </rPr>
      <t>激光打印机</t>
    </r>
  </si>
  <si>
    <t>A3/A4</t>
  </si>
  <si>
    <r>
      <rPr>
        <sz val="10"/>
        <rFont val="宋体"/>
        <charset val="134"/>
      </rPr>
      <t>电源与信号防雷模块</t>
    </r>
  </si>
  <si>
    <r>
      <rPr>
        <sz val="10"/>
        <rFont val="宋体"/>
        <charset val="134"/>
      </rPr>
      <t>规格按系统需要配置</t>
    </r>
  </si>
  <si>
    <r>
      <rPr>
        <sz val="10"/>
        <rFont val="宋体"/>
        <charset val="134"/>
      </rPr>
      <t>已含</t>
    </r>
  </si>
  <si>
    <r>
      <rPr>
        <sz val="10"/>
        <rFont val="Times New Roman"/>
        <charset val="134"/>
      </rPr>
      <t>PLC</t>
    </r>
    <r>
      <rPr>
        <sz val="10"/>
        <rFont val="宋体"/>
        <charset val="134"/>
      </rPr>
      <t>控制系统</t>
    </r>
  </si>
  <si>
    <r>
      <rPr>
        <sz val="10"/>
        <rFont val="Times New Roman"/>
        <charset val="134"/>
      </rPr>
      <t>PLC</t>
    </r>
    <r>
      <rPr>
        <sz val="10"/>
        <rFont val="宋体"/>
        <charset val="134"/>
      </rPr>
      <t>控制系统；详见</t>
    </r>
    <r>
      <rPr>
        <sz val="10"/>
        <rFont val="Times New Roman"/>
        <charset val="134"/>
      </rPr>
      <t>\U+201C</t>
    </r>
    <r>
      <rPr>
        <sz val="10"/>
        <rFont val="宋体"/>
        <charset val="134"/>
      </rPr>
      <t>自控系统图</t>
    </r>
    <r>
      <rPr>
        <sz val="10"/>
        <rFont val="Times New Roman"/>
        <charset val="134"/>
      </rPr>
      <t>\U+201D
I/O</t>
    </r>
    <r>
      <rPr>
        <sz val="10"/>
        <rFont val="宋体"/>
        <charset val="134"/>
      </rPr>
      <t>、底板、通信部件、机柜等；
配套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英寸彩色显示触摸屏</t>
    </r>
  </si>
  <si>
    <r>
      <rPr>
        <sz val="10"/>
        <rFont val="宋体"/>
        <charset val="134"/>
      </rPr>
      <t>视频监视主要设备材料</t>
    </r>
  </si>
  <si>
    <r>
      <rPr>
        <sz val="10"/>
        <rFont val="宋体"/>
        <charset val="134"/>
      </rPr>
      <t>红外网络快球摄像机</t>
    </r>
  </si>
  <si>
    <r>
      <rPr>
        <sz val="10"/>
        <rFont val="Times New Roman"/>
        <charset val="134"/>
      </rPr>
      <t>160</t>
    </r>
    <r>
      <rPr>
        <sz val="10"/>
        <rFont val="宋体"/>
        <charset val="134"/>
      </rPr>
      <t>万像素彩色；自动变焦；室外型，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；带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米安装立杆与附件</t>
    </r>
  </si>
  <si>
    <r>
      <rPr>
        <sz val="10"/>
        <rFont val="宋体"/>
        <charset val="134"/>
      </rPr>
      <t>红外网络枪型摄像机</t>
    </r>
  </si>
  <si>
    <r>
      <rPr>
        <sz val="10"/>
        <rFont val="Times New Roman"/>
        <charset val="134"/>
      </rPr>
      <t>160</t>
    </r>
    <r>
      <rPr>
        <sz val="10"/>
        <rFont val="宋体"/>
        <charset val="134"/>
      </rPr>
      <t>万像素彩色；自动变焦；室内型，</t>
    </r>
    <r>
      <rPr>
        <sz val="10"/>
        <rFont val="Times New Roman"/>
        <charset val="134"/>
      </rPr>
      <t>IP42</t>
    </r>
    <r>
      <rPr>
        <sz val="10"/>
        <rFont val="宋体"/>
        <charset val="134"/>
      </rPr>
      <t>；，带壁装底座附件</t>
    </r>
  </si>
  <si>
    <r>
      <rPr>
        <sz val="10"/>
        <rFont val="宋体"/>
        <charset val="134"/>
      </rPr>
      <t>千兆以太网交换机</t>
    </r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</si>
  <si>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电口</t>
    </r>
    <r>
      <rPr>
        <sz val="10"/>
        <rFont val="Times New Roman"/>
        <charset val="134"/>
      </rPr>
      <t>/8</t>
    </r>
    <r>
      <rPr>
        <sz val="10"/>
        <rFont val="宋体"/>
        <charset val="134"/>
      </rPr>
      <t>光口</t>
    </r>
  </si>
  <si>
    <r>
      <rPr>
        <sz val="10"/>
        <rFont val="宋体"/>
        <charset val="134"/>
      </rPr>
      <t>视频监控系统机柜</t>
    </r>
  </si>
  <si>
    <r>
      <rPr>
        <sz val="10"/>
        <rFont val="宋体"/>
        <charset val="134"/>
      </rPr>
      <t>厂家成套，含管理及录像服务器</t>
    </r>
  </si>
  <si>
    <r>
      <rPr>
        <sz val="10"/>
        <rFont val="宋体"/>
        <charset val="134"/>
      </rPr>
      <t>液晶显示器</t>
    </r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</si>
  <si>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英寸；中控室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套，门卫传达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套，配套所需设备</t>
    </r>
  </si>
  <si>
    <r>
      <rPr>
        <sz val="10"/>
        <rFont val="宋体"/>
        <charset val="134"/>
      </rPr>
      <t>铠装直埋地光缆</t>
    </r>
  </si>
  <si>
    <r>
      <rPr>
        <sz val="10"/>
        <rFont val="Times New Roman"/>
        <charset val="134"/>
      </rPr>
      <t>1*2</t>
    </r>
    <r>
      <rPr>
        <sz val="10"/>
        <rFont val="宋体"/>
        <charset val="134"/>
      </rPr>
      <t>芯单模光缆</t>
    </r>
  </si>
  <si>
    <r>
      <rPr>
        <sz val="10"/>
        <rFont val="宋体"/>
        <charset val="134"/>
      </rPr>
      <t>电力电缆</t>
    </r>
  </si>
  <si>
    <t>YJV22-1KV-3*2.5</t>
  </si>
  <si>
    <r>
      <rPr>
        <sz val="10"/>
        <rFont val="宋体"/>
        <charset val="134"/>
      </rPr>
      <t>镀锌钢管</t>
    </r>
  </si>
  <si>
    <t>DN20</t>
  </si>
  <si>
    <r>
      <rPr>
        <b/>
        <sz val="10"/>
        <rFont val="宋体"/>
        <charset val="134"/>
      </rPr>
      <t>仪表设备</t>
    </r>
  </si>
  <si>
    <r>
      <rPr>
        <sz val="10"/>
        <rFont val="宋体"/>
        <charset val="134"/>
      </rPr>
      <t>生产工艺过程主要测量仪表设备</t>
    </r>
  </si>
  <si>
    <r>
      <rPr>
        <sz val="10"/>
        <rFont val="Times New Roman"/>
        <charset val="134"/>
      </rPr>
      <t>ORP</t>
    </r>
    <r>
      <rPr>
        <sz val="10"/>
        <rFont val="宋体"/>
        <charset val="134"/>
      </rPr>
      <t>在线测量仪</t>
    </r>
  </si>
  <si>
    <r>
      <rPr>
        <sz val="10"/>
        <rFont val="宋体"/>
        <charset val="134"/>
      </rPr>
      <t>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+1000mV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+1000mV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</si>
  <si>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r>
      <rPr>
        <sz val="10"/>
        <rFont val="宋体"/>
        <charset val="134"/>
      </rPr>
      <t>在线荧光溶解氧分析仪</t>
    </r>
  </si>
  <si>
    <r>
      <rPr>
        <sz val="10"/>
        <rFont val="宋体"/>
        <charset val="134"/>
      </rPr>
      <t>荧光传感器：池边浸入式安装；带支架等所有安装附件；防护等级：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20mg/L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</si>
  <si>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r>
      <rPr>
        <sz val="10"/>
        <rFont val="宋体"/>
        <charset val="134"/>
      </rPr>
      <t>在线污泥浓度分析仪</t>
    </r>
  </si>
  <si>
    <r>
      <rPr>
        <sz val="10"/>
        <rFont val="宋体"/>
        <charset val="134"/>
      </rPr>
      <t>光学传感器：池边浸入式安装；带支架等所有安装附件；防护等级：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10g/L/1</t>
    </r>
    <r>
      <rPr>
        <sz val="10"/>
        <rFont val="宋体"/>
        <charset val="134"/>
      </rPr>
      <t>套；测量范围：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20g/L/1</t>
    </r>
    <r>
      <rPr>
        <sz val="10"/>
        <rFont val="宋体"/>
        <charset val="134"/>
      </rPr>
      <t>套；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</si>
  <si>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r>
      <rPr>
        <sz val="10"/>
        <rFont val="宋体"/>
        <charset val="134"/>
      </rPr>
      <t>超声波泥位计</t>
    </r>
  </si>
  <si>
    <r>
      <rPr>
        <sz val="10"/>
        <rFont val="宋体"/>
        <charset val="134"/>
      </rPr>
      <t>超声波传感器：池边浸入式安装；带支架等所有安装附件；防护等级：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0-10</t>
    </r>
    <r>
      <rPr>
        <sz val="10"/>
        <rFont val="宋体"/>
        <charset val="134"/>
      </rPr>
      <t>米；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</si>
  <si>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r>
      <rPr>
        <sz val="10"/>
        <rFont val="宋体"/>
        <charset val="134"/>
      </rPr>
      <t>分体式超声波液位计</t>
    </r>
  </si>
  <si>
    <r>
      <rPr>
        <sz val="10"/>
        <rFont val="宋体"/>
        <charset val="134"/>
      </rPr>
      <t>传感器：池边（灌顶）支架安装；带支架等所有安装附件；防护等级：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0-10</t>
    </r>
    <r>
      <rPr>
        <sz val="10"/>
        <rFont val="宋体"/>
        <charset val="134"/>
      </rPr>
      <t>米；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</si>
  <si>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r>
      <rPr>
        <sz val="10"/>
        <rFont val="宋体"/>
        <charset val="134"/>
      </rPr>
      <t>传感器：池边（灌顶）支架安装；带支架等所有安装附件；防护等级：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0-15</t>
    </r>
    <r>
      <rPr>
        <sz val="10"/>
        <rFont val="宋体"/>
        <charset val="134"/>
      </rPr>
      <t>米；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</si>
  <si>
    <t>超声波液位差计</t>
  </si>
  <si>
    <t>测量范围：0-0.5米；池边支架安装；电源DC24V；输出4-20mA；二线制；带不锈钢安装支架等附件；防护等级 IP67；</t>
  </si>
  <si>
    <r>
      <rPr>
        <sz val="10"/>
        <rFont val="宋体"/>
        <charset val="134"/>
      </rPr>
      <t>热式气体质量流量计</t>
    </r>
  </si>
  <si>
    <r>
      <rPr>
        <sz val="10"/>
        <rFont val="宋体"/>
        <charset val="134"/>
      </rPr>
      <t>管道：</t>
    </r>
    <r>
      <rPr>
        <sz val="10"/>
        <rFont val="Times New Roman"/>
        <charset val="134"/>
      </rPr>
      <t>DN500</t>
    </r>
    <r>
      <rPr>
        <sz val="10"/>
        <rFont val="宋体"/>
        <charset val="134"/>
      </rPr>
      <t>；配套不锈钢防护箱、支架等
不锈钢传感器；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米电缆；带底座与球阀，带必需的附件；
电源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  <r>
      <rPr>
        <sz val="10"/>
        <rFont val="宋体"/>
        <charset val="134"/>
      </rPr>
      <t>；防护等级：</t>
    </r>
    <r>
      <rPr>
        <sz val="10"/>
        <rFont val="Times New Roman"/>
        <charset val="134"/>
      </rPr>
      <t>IP67/IP68</t>
    </r>
  </si>
  <si>
    <r>
      <rPr>
        <sz val="10"/>
        <rFont val="宋体"/>
        <charset val="134"/>
      </rPr>
      <t>分体式电磁流量计</t>
    </r>
  </si>
  <si>
    <r>
      <rPr>
        <sz val="10"/>
        <rFont val="宋体"/>
        <charset val="134"/>
      </rPr>
      <t>耐磨橡胶衬里，不锈钢电极，管道：</t>
    </r>
    <r>
      <rPr>
        <sz val="10"/>
        <rFont val="Times New Roman"/>
        <charset val="134"/>
      </rPr>
      <t>DN150</t>
    </r>
    <r>
      <rPr>
        <sz val="10"/>
        <rFont val="宋体"/>
        <charset val="134"/>
      </rPr>
      <t>；
法兰安装，</t>
    </r>
    <r>
      <rPr>
        <sz val="10"/>
        <rFont val="Times New Roman"/>
        <charset val="134"/>
      </rPr>
      <t>PN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1.6MPa</t>
    </r>
    <r>
      <rPr>
        <sz val="10"/>
        <rFont val="宋体"/>
        <charset val="134"/>
      </rPr>
      <t>；电源：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</t>
    </r>
    <r>
      <rPr>
        <sz val="10"/>
        <rFont val="Times New Roman"/>
        <charset val="134"/>
      </rPr>
      <t>4-20mA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IP67</t>
    </r>
  </si>
  <si>
    <r>
      <rPr>
        <sz val="10"/>
        <rFont val="宋体"/>
        <charset val="134"/>
      </rPr>
      <t>压力变送器</t>
    </r>
  </si>
  <si>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0-100KPa</t>
    </r>
    <r>
      <rPr>
        <sz val="10"/>
        <rFont val="宋体"/>
        <charset val="134"/>
      </rPr>
      <t>；电源：</t>
    </r>
    <r>
      <rPr>
        <sz val="10"/>
        <rFont val="Times New Roman"/>
        <charset val="134"/>
      </rPr>
      <t>DC24V</t>
    </r>
    <r>
      <rPr>
        <sz val="10"/>
        <rFont val="宋体"/>
        <charset val="134"/>
      </rPr>
      <t>；
输出：</t>
    </r>
    <r>
      <rPr>
        <sz val="10"/>
        <rFont val="Times New Roman"/>
        <charset val="134"/>
      </rPr>
      <t>4-20mA</t>
    </r>
    <r>
      <rPr>
        <sz val="10"/>
        <rFont val="宋体"/>
        <charset val="134"/>
      </rPr>
      <t>；带不锈钢截止阀、带安装附件；防护等级：</t>
    </r>
    <r>
      <rPr>
        <sz val="10"/>
        <rFont val="Times New Roman"/>
        <charset val="134"/>
      </rPr>
      <t>IP65</t>
    </r>
  </si>
  <si>
    <r>
      <rPr>
        <sz val="10"/>
        <rFont val="宋体"/>
        <charset val="134"/>
      </rPr>
      <t>硫化氢探测报警仪</t>
    </r>
  </si>
  <si>
    <r>
      <rPr>
        <sz val="10"/>
        <rFont val="宋体"/>
        <charset val="134"/>
      </rPr>
      <t>报警器（变送器）：防护等级</t>
    </r>
    <r>
      <rPr>
        <sz val="10"/>
        <rFont val="Times New Roman"/>
        <charset val="134"/>
      </rPr>
      <t>IP66</t>
    </r>
    <r>
      <rPr>
        <sz val="10"/>
        <rFont val="宋体"/>
        <charset val="134"/>
      </rPr>
      <t>；配安装不锈钢支架、防护罩等附件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；输出：两路</t>
    </r>
    <r>
      <rPr>
        <sz val="10"/>
        <rFont val="Times New Roman"/>
        <charset val="134"/>
      </rPr>
      <t>4-20mA</t>
    </r>
    <r>
      <rPr>
        <sz val="10"/>
        <rFont val="宋体"/>
        <charset val="134"/>
      </rPr>
      <t>；；测量范围：</t>
    </r>
    <r>
      <rPr>
        <sz val="10"/>
        <rFont val="Times New Roman"/>
        <charset val="134"/>
      </rPr>
      <t xml:space="preserve">0-100ppm
</t>
    </r>
    <r>
      <rPr>
        <sz val="10"/>
        <rFont val="宋体"/>
        <charset val="134"/>
      </rPr>
      <t>探测器（传感器）：双探头，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米电缆；配安装附件</t>
    </r>
  </si>
  <si>
    <r>
      <rPr>
        <sz val="10"/>
        <rFont val="宋体"/>
        <charset val="134"/>
      </rPr>
      <t>便携式
硫化氢探测报警仪</t>
    </r>
  </si>
  <si>
    <r>
      <rPr>
        <sz val="10"/>
        <rFont val="宋体"/>
        <charset val="134"/>
      </rPr>
      <t>带下沉绳与手持杆，电池供电，防爆型</t>
    </r>
  </si>
  <si>
    <r>
      <rPr>
        <sz val="10"/>
        <rFont val="宋体"/>
        <charset val="134"/>
      </rPr>
      <t>污水厂进、出口水质、水量监测设备</t>
    </r>
  </si>
  <si>
    <r>
      <rPr>
        <sz val="10"/>
        <rFont val="Times New Roman"/>
        <charset val="134"/>
      </rPr>
      <t>PH</t>
    </r>
    <r>
      <rPr>
        <sz val="10"/>
        <rFont val="宋体"/>
        <charset val="134"/>
      </rPr>
      <t>在线测量仪</t>
    </r>
  </si>
  <si>
    <r>
      <rPr>
        <sz val="10"/>
        <rFont val="宋体"/>
        <charset val="134"/>
      </rPr>
      <t>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14PH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>RS232/4-20mA</t>
    </r>
  </si>
  <si>
    <r>
      <rPr>
        <sz val="10"/>
        <rFont val="宋体"/>
        <charset val="134"/>
      </rPr>
      <t>在线悬浮物浓度（浊度）
分析仪</t>
    </r>
  </si>
  <si>
    <r>
      <rPr>
        <sz val="10"/>
        <rFont val="宋体"/>
        <charset val="134"/>
      </rPr>
      <t>传感器：池边浸入式安装；带支架等所有安装附件；防护等级：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1000mg/L/1</t>
    </r>
    <r>
      <rPr>
        <sz val="10"/>
        <rFont val="宋体"/>
        <charset val="134"/>
      </rPr>
      <t>套；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100mg/L/1</t>
    </r>
    <r>
      <rPr>
        <sz val="10"/>
        <rFont val="宋体"/>
        <charset val="134"/>
      </rPr>
      <t>套；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变送器：传感器配套变送器；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>RS232/4-20mA</t>
    </r>
  </si>
  <si>
    <r>
      <rPr>
        <sz val="10"/>
        <rFont val="宋体"/>
        <charset val="134"/>
      </rPr>
      <t>在线</t>
    </r>
    <r>
      <rPr>
        <sz val="10"/>
        <rFont val="Times New Roman"/>
        <charset val="134"/>
      </rPr>
      <t>COD</t>
    </r>
    <r>
      <rPr>
        <sz val="10"/>
        <rFont val="宋体"/>
        <charset val="134"/>
      </rPr>
      <t>分析仪
（</t>
    </r>
    <r>
      <rPr>
        <sz val="10"/>
        <rFont val="Times New Roman"/>
        <charset val="134"/>
      </rPr>
      <t>CODcr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</si>
  <si>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配套取样和样品预处理设备及其它必须的附件、试剂等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 xml:space="preserve">RS232/4-20mA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0-1000mg/L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,1</t>
    </r>
    <r>
      <rPr>
        <sz val="10"/>
        <rFont val="宋体"/>
        <charset val="134"/>
      </rPr>
      <t>套（安装于进水细格栅监测房）
测量范围：</t>
    </r>
    <r>
      <rPr>
        <sz val="10"/>
        <rFont val="Times New Roman"/>
        <charset val="134"/>
      </rPr>
      <t>0-100mg/L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套（安装于出水消毒池监测房）</t>
    </r>
  </si>
  <si>
    <r>
      <rPr>
        <sz val="10"/>
        <rFont val="宋体"/>
        <charset val="134"/>
      </rPr>
      <t>在线氨氮分析仪</t>
    </r>
  </si>
  <si>
    <r>
      <rPr>
        <sz val="10"/>
        <rFont val="宋体"/>
        <charset val="134"/>
      </rPr>
      <t>配套取样和样品预处理设备及其它必须的附件、试剂等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 xml:space="preserve">RS232/4-20mA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0-100mg/L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,1</t>
    </r>
    <r>
      <rPr>
        <sz val="10"/>
        <rFont val="宋体"/>
        <charset val="134"/>
      </rPr>
      <t>套（安装于进水细格栅监测房）
测量范围：</t>
    </r>
    <r>
      <rPr>
        <sz val="10"/>
        <rFont val="Times New Roman"/>
        <charset val="134"/>
      </rPr>
      <t>0-50mg/L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套（安装于出水消毒池监测房）</t>
    </r>
  </si>
  <si>
    <r>
      <rPr>
        <sz val="10"/>
        <rFont val="宋体"/>
        <charset val="134"/>
      </rPr>
      <t>在线总氮分析仪</t>
    </r>
  </si>
  <si>
    <r>
      <rPr>
        <sz val="10"/>
        <rFont val="宋体"/>
        <charset val="134"/>
      </rPr>
      <t>在线总磷分析仪</t>
    </r>
  </si>
  <si>
    <r>
      <rPr>
        <sz val="10"/>
        <rFont val="宋体"/>
        <charset val="134"/>
      </rPr>
      <t>配套取样和样品预处理设备及其它必须的附件、试剂等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 xml:space="preserve">RS232/4-20mA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0-50mg/L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,1</t>
    </r>
    <r>
      <rPr>
        <sz val="10"/>
        <rFont val="宋体"/>
        <charset val="134"/>
      </rPr>
      <t>套（安装于进水细格栅监测房）
测量范围：</t>
    </r>
    <r>
      <rPr>
        <sz val="10"/>
        <rFont val="Times New Roman"/>
        <charset val="134"/>
      </rPr>
      <t>0-10mg/L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套（安装于出水消毒池监测房）</t>
    </r>
  </si>
  <si>
    <r>
      <rPr>
        <sz val="10"/>
        <rFont val="宋体"/>
        <charset val="134"/>
      </rPr>
      <t>耐磨橡胶衬里，不锈钢电极，管道：</t>
    </r>
    <r>
      <rPr>
        <sz val="10"/>
        <rFont val="Times New Roman"/>
        <charset val="134"/>
      </rPr>
      <t>DN700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IP67
</t>
    </r>
    <r>
      <rPr>
        <sz val="10"/>
        <rFont val="宋体"/>
        <charset val="134"/>
      </rPr>
      <t>法兰安装，</t>
    </r>
    <r>
      <rPr>
        <sz val="10"/>
        <rFont val="Times New Roman"/>
        <charset val="134"/>
      </rPr>
      <t>PN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1.6MPa</t>
    </r>
    <r>
      <rPr>
        <sz val="10"/>
        <rFont val="宋体"/>
        <charset val="134"/>
      </rPr>
      <t>；电源：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>RS232/4-20mA</t>
    </r>
  </si>
  <si>
    <r>
      <rPr>
        <sz val="10"/>
        <rFont val="宋体"/>
        <charset val="134"/>
      </rPr>
      <t>超声波明渠流量计</t>
    </r>
  </si>
  <si>
    <r>
      <rPr>
        <sz val="10"/>
        <rFont val="宋体"/>
        <charset val="134"/>
      </rPr>
      <t>传感器：池边支架安装；带支架等所有安装附件；防护等级：</t>
    </r>
    <r>
      <rPr>
        <sz val="10"/>
        <rFont val="Times New Roman"/>
        <charset val="134"/>
      </rPr>
      <t xml:space="preserve">IP68
</t>
    </r>
    <r>
      <rPr>
        <sz val="10"/>
        <rFont val="宋体"/>
        <charset val="134"/>
      </rPr>
      <t>测量范围：</t>
    </r>
    <r>
      <rPr>
        <sz val="10"/>
        <rFont val="Times New Roman"/>
        <charset val="134"/>
      </rPr>
      <t>0-5</t>
    </r>
    <r>
      <rPr>
        <sz val="10"/>
        <rFont val="宋体"/>
        <charset val="134"/>
      </rPr>
      <t>米；；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米电缆；
变送器：巴氏槽流量变送器；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；配不锈钢防护箱、支架等附件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；输出：</t>
    </r>
    <r>
      <rPr>
        <sz val="10"/>
        <rFont val="Times New Roman"/>
        <charset val="134"/>
      </rPr>
      <t>RS232/4-20mA</t>
    </r>
  </si>
  <si>
    <r>
      <rPr>
        <sz val="10"/>
        <rFont val="宋体"/>
        <charset val="134"/>
      </rPr>
      <t>水质分析自动采样仪</t>
    </r>
  </si>
  <si>
    <r>
      <rPr>
        <sz val="10"/>
        <rFont val="宋体"/>
        <charset val="134"/>
      </rPr>
      <t>不锈钢壳体，防护等级：</t>
    </r>
    <r>
      <rPr>
        <sz val="10"/>
        <rFont val="Times New Roman"/>
        <charset val="134"/>
      </rPr>
      <t>IP65</t>
    </r>
    <r>
      <rPr>
        <sz val="10"/>
        <rFont val="宋体"/>
        <charset val="134"/>
      </rPr>
      <t>；配套取样及其它必须的附件等
电源：</t>
    </r>
    <r>
      <rPr>
        <sz val="10"/>
        <rFont val="Times New Roman"/>
        <charset val="134"/>
      </rPr>
      <t>AC220V</t>
    </r>
    <r>
      <rPr>
        <sz val="10"/>
        <rFont val="宋体"/>
        <charset val="134"/>
      </rPr>
      <t>；
采样间隔时间可设置；配样品存放瓶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</si>
  <si>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高温炉</t>
    </r>
  </si>
  <si>
    <t>220V 4KW</t>
  </si>
  <si>
    <r>
      <rPr>
        <sz val="10"/>
        <rFont val="宋体"/>
        <charset val="134"/>
      </rPr>
      <t>电热恒温干燥器</t>
    </r>
  </si>
  <si>
    <r>
      <rPr>
        <sz val="10"/>
        <rFont val="宋体"/>
        <charset val="134"/>
      </rPr>
      <t>电热恒温培养箱</t>
    </r>
  </si>
  <si>
    <r>
      <rPr>
        <sz val="10"/>
        <rFont val="Times New Roman"/>
        <charset val="134"/>
      </rPr>
      <t>BOD</t>
    </r>
    <r>
      <rPr>
        <sz val="10"/>
        <rFont val="宋体"/>
        <charset val="134"/>
      </rPr>
      <t>培养箱</t>
    </r>
  </si>
  <si>
    <r>
      <rPr>
        <sz val="10"/>
        <rFont val="宋体"/>
        <charset val="134"/>
      </rPr>
      <t>电热恒温水浴锅</t>
    </r>
  </si>
  <si>
    <r>
      <rPr>
        <sz val="10"/>
        <rFont val="宋体"/>
        <charset val="134"/>
      </rPr>
      <t>紫外可见分光光度计</t>
    </r>
  </si>
  <si>
    <r>
      <rPr>
        <sz val="10"/>
        <rFont val="宋体"/>
        <charset val="134"/>
      </rPr>
      <t>电导仪</t>
    </r>
  </si>
  <si>
    <r>
      <rPr>
        <sz val="10"/>
        <rFont val="宋体"/>
        <charset val="134"/>
      </rPr>
      <t>便携式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测定仪</t>
    </r>
  </si>
  <si>
    <r>
      <rPr>
        <sz val="10"/>
        <rFont val="宋体"/>
        <charset val="134"/>
      </rPr>
      <t>台式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测定仪</t>
    </r>
  </si>
  <si>
    <r>
      <rPr>
        <sz val="10"/>
        <rFont val="宋体"/>
        <charset val="134"/>
      </rPr>
      <t>台式</t>
    </r>
    <r>
      <rPr>
        <sz val="10"/>
        <rFont val="Times New Roman"/>
        <charset val="134"/>
      </rPr>
      <t>DO</t>
    </r>
    <r>
      <rPr>
        <sz val="10"/>
        <rFont val="宋体"/>
        <charset val="134"/>
      </rPr>
      <t>测定仪</t>
    </r>
  </si>
  <si>
    <r>
      <rPr>
        <sz val="10"/>
        <rFont val="宋体"/>
        <charset val="134"/>
      </rPr>
      <t>便携式</t>
    </r>
    <r>
      <rPr>
        <sz val="10"/>
        <rFont val="Times New Roman"/>
        <charset val="134"/>
      </rPr>
      <t>DO</t>
    </r>
    <r>
      <rPr>
        <sz val="10"/>
        <rFont val="宋体"/>
        <charset val="134"/>
      </rPr>
      <t>、温度测定仪</t>
    </r>
  </si>
  <si>
    <r>
      <rPr>
        <sz val="10"/>
        <rFont val="宋体"/>
        <charset val="134"/>
      </rPr>
      <t>固定式水样取样器</t>
    </r>
  </si>
  <si>
    <r>
      <rPr>
        <sz val="10"/>
        <rFont val="宋体"/>
        <charset val="134"/>
      </rPr>
      <t>精密天平</t>
    </r>
  </si>
  <si>
    <r>
      <rPr>
        <sz val="10"/>
        <rFont val="宋体"/>
        <charset val="134"/>
      </rPr>
      <t>分析天平</t>
    </r>
  </si>
  <si>
    <r>
      <rPr>
        <sz val="10"/>
        <rFont val="宋体"/>
        <charset val="134"/>
      </rPr>
      <t>双目生物显微镜</t>
    </r>
  </si>
  <si>
    <r>
      <rPr>
        <sz val="10"/>
        <rFont val="宋体"/>
        <charset val="134"/>
      </rPr>
      <t>超纯水制备机</t>
    </r>
  </si>
  <si>
    <r>
      <rPr>
        <sz val="10"/>
        <rFont val="宋体"/>
        <charset val="134"/>
      </rPr>
      <t>灭菌器</t>
    </r>
  </si>
  <si>
    <r>
      <rPr>
        <sz val="10"/>
        <rFont val="宋体"/>
        <charset val="134"/>
      </rPr>
      <t>磁力搅拌器</t>
    </r>
  </si>
  <si>
    <r>
      <rPr>
        <sz val="10"/>
        <rFont val="宋体"/>
        <charset val="134"/>
      </rPr>
      <t>电动离心机</t>
    </r>
  </si>
  <si>
    <r>
      <rPr>
        <sz val="10"/>
        <rFont val="宋体"/>
        <charset val="134"/>
      </rPr>
      <t>无油真空泵</t>
    </r>
  </si>
  <si>
    <r>
      <rPr>
        <sz val="10"/>
        <rFont val="Times New Roman"/>
        <charset val="134"/>
      </rPr>
      <t>COD</t>
    </r>
    <r>
      <rPr>
        <sz val="10"/>
        <rFont val="宋体"/>
        <charset val="134"/>
      </rPr>
      <t>测定仪</t>
    </r>
  </si>
  <si>
    <r>
      <rPr>
        <sz val="10"/>
        <rFont val="宋体"/>
        <charset val="134"/>
      </rPr>
      <t>电冰箱</t>
    </r>
  </si>
  <si>
    <r>
      <rPr>
        <sz val="10"/>
        <rFont val="宋体"/>
        <charset val="134"/>
      </rPr>
      <t>数显酸度计</t>
    </r>
  </si>
  <si>
    <r>
      <rPr>
        <sz val="10"/>
        <rFont val="宋体"/>
        <charset val="134"/>
      </rPr>
      <t>单盘可调电炉</t>
    </r>
  </si>
  <si>
    <r>
      <rPr>
        <sz val="10"/>
        <rFont val="宋体"/>
        <charset val="134"/>
      </rPr>
      <t>不锈钢电热蒸馏水器</t>
    </r>
  </si>
  <si>
    <r>
      <rPr>
        <sz val="10"/>
        <rFont val="宋体"/>
        <charset val="134"/>
      </rPr>
      <t>定时器</t>
    </r>
  </si>
  <si>
    <r>
      <rPr>
        <sz val="10"/>
        <rFont val="宋体"/>
        <charset val="134"/>
      </rPr>
      <t>成套组合化验台</t>
    </r>
  </si>
  <si>
    <r>
      <rPr>
        <sz val="10"/>
        <rFont val="宋体"/>
        <charset val="134"/>
      </rPr>
      <t>操作台、试剂柜、玻仪柜、通风橱等</t>
    </r>
  </si>
  <si>
    <r>
      <rPr>
        <sz val="10"/>
        <rFont val="宋体"/>
        <charset val="134"/>
      </rPr>
      <t>空调挂机</t>
    </r>
  </si>
  <si>
    <r>
      <rPr>
        <sz val="10"/>
        <rFont val="宋体"/>
        <charset val="134"/>
      </rPr>
      <t>台式电脑</t>
    </r>
  </si>
  <si>
    <r>
      <rPr>
        <sz val="10"/>
        <rFont val="宋体"/>
        <charset val="134"/>
      </rPr>
      <t>有机玻璃深水采样器</t>
    </r>
  </si>
  <si>
    <t>2.5L</t>
  </si>
  <si>
    <r>
      <rPr>
        <sz val="10"/>
        <rFont val="宋体"/>
        <charset val="134"/>
      </rPr>
      <t>微型空气压缩机</t>
    </r>
  </si>
  <si>
    <r>
      <rPr>
        <sz val="10"/>
        <rFont val="宋体"/>
        <charset val="134"/>
      </rPr>
      <t>手提式高压蒸汽灭菌器</t>
    </r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</si>
  <si>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 xml:space="preserve"> 2KW </t>
    </r>
    <r>
      <rPr>
        <sz val="10"/>
        <rFont val="宋体"/>
        <charset val="134"/>
      </rPr>
      <t>不锈钢</t>
    </r>
  </si>
  <si>
    <r>
      <rPr>
        <sz val="10"/>
        <rFont val="Times New Roman"/>
        <charset val="134"/>
      </rPr>
      <t>COD</t>
    </r>
    <r>
      <rPr>
        <sz val="10"/>
        <rFont val="宋体"/>
        <charset val="134"/>
      </rPr>
      <t>恒温加热器</t>
    </r>
  </si>
  <si>
    <r>
      <rPr>
        <sz val="10"/>
        <rFont val="宋体"/>
        <charset val="134"/>
      </rPr>
      <t>全玻璃过滤装置</t>
    </r>
  </si>
  <si>
    <r>
      <rPr>
        <sz val="10"/>
        <rFont val="宋体"/>
        <charset val="134"/>
      </rPr>
      <t>换气扇</t>
    </r>
  </si>
  <si>
    <r>
      <rPr>
        <sz val="10"/>
        <rFont val="宋体"/>
        <charset val="134"/>
      </rPr>
      <t>若干</t>
    </r>
  </si>
  <si>
    <r>
      <rPr>
        <sz val="10"/>
        <rFont val="宋体"/>
        <charset val="134"/>
      </rPr>
      <t>装化验室</t>
    </r>
  </si>
  <si>
    <r>
      <rPr>
        <sz val="10"/>
        <rFont val="宋体"/>
        <charset val="134"/>
      </rPr>
      <t>溶解氧瓶（带磨口玻璃塞）</t>
    </r>
  </si>
  <si>
    <t>250ml</t>
  </si>
  <si>
    <r>
      <rPr>
        <sz val="10"/>
        <rFont val="宋体"/>
        <charset val="134"/>
      </rPr>
      <t>塞子实心</t>
    </r>
  </si>
  <si>
    <r>
      <rPr>
        <sz val="10"/>
        <rFont val="宋体"/>
        <charset val="134"/>
      </rPr>
      <t>称量瓶</t>
    </r>
  </si>
  <si>
    <r>
      <rPr>
        <sz val="10"/>
        <rFont val="宋体"/>
        <charset val="134"/>
      </rPr>
      <t>内径</t>
    </r>
    <r>
      <rPr>
        <sz val="10"/>
        <rFont val="Times New Roman"/>
        <charset val="134"/>
      </rPr>
      <t>30mm</t>
    </r>
  </si>
  <si>
    <r>
      <rPr>
        <sz val="10"/>
        <rFont val="宋体"/>
        <charset val="134"/>
      </rPr>
      <t>内径</t>
    </r>
    <r>
      <rPr>
        <sz val="10"/>
        <rFont val="Times New Roman"/>
        <charset val="134"/>
      </rPr>
      <t>50mm</t>
    </r>
  </si>
  <si>
    <r>
      <rPr>
        <sz val="10"/>
        <rFont val="宋体"/>
        <charset val="134"/>
      </rPr>
      <t>具塞纳氏比色管</t>
    </r>
  </si>
  <si>
    <t>50ml</t>
  </si>
  <si>
    <t>25ml</t>
  </si>
  <si>
    <r>
      <rPr>
        <sz val="10"/>
        <rFont val="宋体"/>
        <charset val="134"/>
      </rPr>
      <t>酸式滴定管</t>
    </r>
  </si>
  <si>
    <r>
      <rPr>
        <sz val="10"/>
        <rFont val="宋体"/>
        <charset val="134"/>
      </rPr>
      <t>碱式滴定管</t>
    </r>
  </si>
  <si>
    <r>
      <rPr>
        <sz val="10"/>
        <rFont val="宋体"/>
        <charset val="134"/>
      </rPr>
      <t>棕色酸式滴定管</t>
    </r>
  </si>
  <si>
    <r>
      <rPr>
        <sz val="10"/>
        <rFont val="宋体"/>
        <charset val="134"/>
      </rPr>
      <t>刻度吸管</t>
    </r>
  </si>
  <si>
    <t>10ml</t>
  </si>
  <si>
    <t>5ml</t>
  </si>
  <si>
    <t>2ml</t>
  </si>
  <si>
    <t>1ml</t>
  </si>
  <si>
    <r>
      <rPr>
        <sz val="10"/>
        <rFont val="宋体"/>
        <charset val="134"/>
      </rPr>
      <t>比色皿</t>
    </r>
  </si>
  <si>
    <t>10mm</t>
  </si>
  <si>
    <t>30mm</t>
  </si>
  <si>
    <r>
      <rPr>
        <sz val="10"/>
        <rFont val="Times New Roman"/>
        <charset val="134"/>
      </rPr>
      <t>10mm(</t>
    </r>
    <r>
      <rPr>
        <sz val="10"/>
        <rFont val="宋体"/>
        <charset val="134"/>
      </rPr>
      <t>石英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</si>
  <si>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移液管</t>
    </r>
  </si>
  <si>
    <t>20ml</t>
  </si>
  <si>
    <t>15ml</t>
  </si>
  <si>
    <r>
      <rPr>
        <sz val="10"/>
        <rFont val="宋体"/>
        <charset val="134"/>
      </rPr>
      <t>烧杯</t>
    </r>
  </si>
  <si>
    <t>2000ml</t>
  </si>
  <si>
    <t>1000ml</t>
  </si>
  <si>
    <t>500ml</t>
  </si>
  <si>
    <t>200ml</t>
  </si>
  <si>
    <t>150ml</t>
  </si>
  <si>
    <r>
      <rPr>
        <sz val="10"/>
        <rFont val="宋体"/>
        <charset val="134"/>
      </rPr>
      <t>量筒</t>
    </r>
  </si>
  <si>
    <t>100ml</t>
  </si>
  <si>
    <r>
      <rPr>
        <sz val="10"/>
        <rFont val="宋体"/>
        <charset val="134"/>
      </rPr>
      <t>量杯</t>
    </r>
  </si>
  <si>
    <r>
      <rPr>
        <sz val="10"/>
        <rFont val="宋体"/>
        <charset val="134"/>
      </rPr>
      <t>漏斗</t>
    </r>
  </si>
  <si>
    <t>240ml</t>
  </si>
  <si>
    <t>90ml</t>
  </si>
  <si>
    <r>
      <rPr>
        <sz val="10"/>
        <rFont val="宋体"/>
        <charset val="134"/>
      </rPr>
      <t>瓷蒸发皿</t>
    </r>
  </si>
  <si>
    <r>
      <rPr>
        <sz val="10"/>
        <rFont val="宋体"/>
        <charset val="134"/>
      </rPr>
      <t>古氏坩锅</t>
    </r>
  </si>
  <si>
    <r>
      <rPr>
        <sz val="10"/>
        <rFont val="宋体"/>
        <charset val="134"/>
      </rPr>
      <t>瓷制</t>
    </r>
    <r>
      <rPr>
        <sz val="10"/>
        <rFont val="Times New Roman"/>
        <charset val="134"/>
      </rPr>
      <t>35ml</t>
    </r>
  </si>
  <si>
    <r>
      <rPr>
        <sz val="10"/>
        <rFont val="宋体"/>
        <charset val="134"/>
      </rPr>
      <t>塑料洗瓶</t>
    </r>
  </si>
  <si>
    <r>
      <rPr>
        <sz val="10"/>
        <rFont val="宋体"/>
        <charset val="134"/>
      </rPr>
      <t>滴瓶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</si>
  <si>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棕</t>
    </r>
  </si>
  <si>
    <r>
      <rPr>
        <sz val="10"/>
        <rFont val="宋体"/>
        <charset val="134"/>
      </rPr>
      <t>配套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</si>
  <si>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棕</t>
    </r>
  </si>
  <si>
    <r>
      <rPr>
        <sz val="10"/>
        <rFont val="Times New Roman"/>
        <charset val="134"/>
      </rPr>
      <t>50ml</t>
    </r>
    <r>
      <rPr>
        <sz val="10"/>
        <rFont val="宋体"/>
        <charset val="134"/>
      </rPr>
      <t>白</t>
    </r>
  </si>
  <si>
    <r>
      <rPr>
        <sz val="10"/>
        <rFont val="Times New Roman"/>
        <charset val="134"/>
      </rPr>
      <t>100ml</t>
    </r>
    <r>
      <rPr>
        <sz val="10"/>
        <rFont val="宋体"/>
        <charset val="134"/>
      </rPr>
      <t>白</t>
    </r>
  </si>
  <si>
    <r>
      <rPr>
        <sz val="10"/>
        <rFont val="宋体"/>
        <charset val="134"/>
      </rPr>
      <t>具磨砂滴管</t>
    </r>
  </si>
  <si>
    <r>
      <rPr>
        <sz val="10"/>
        <rFont val="宋体"/>
        <charset val="134"/>
      </rPr>
      <t>乳胶头</t>
    </r>
  </si>
  <si>
    <r>
      <rPr>
        <sz val="10"/>
        <rFont val="宋体"/>
        <charset val="134"/>
      </rPr>
      <t>玻棒</t>
    </r>
  </si>
  <si>
    <r>
      <rPr>
        <sz val="10"/>
        <rFont val="宋体"/>
        <charset val="134"/>
      </rPr>
      <t>大</t>
    </r>
    <r>
      <rPr>
        <sz val="10"/>
        <rFont val="Times New Roman"/>
        <charset val="134"/>
      </rPr>
      <t>6*300mm</t>
    </r>
  </si>
  <si>
    <r>
      <rPr>
        <sz val="10"/>
        <rFont val="宋体"/>
        <charset val="134"/>
      </rPr>
      <t>中</t>
    </r>
    <r>
      <rPr>
        <sz val="10"/>
        <rFont val="Times New Roman"/>
        <charset val="134"/>
      </rPr>
      <t>200mm</t>
    </r>
  </si>
  <si>
    <r>
      <rPr>
        <sz val="10"/>
        <rFont val="宋体"/>
        <charset val="134"/>
      </rPr>
      <t>具塞锥形瓶</t>
    </r>
  </si>
  <si>
    <r>
      <rPr>
        <sz val="10"/>
        <rFont val="宋体"/>
        <charset val="134"/>
      </rPr>
      <t>蒸馏水瓶（下口）</t>
    </r>
  </si>
  <si>
    <t>10000ml</t>
  </si>
  <si>
    <r>
      <rPr>
        <sz val="10"/>
        <rFont val="宋体"/>
        <charset val="134"/>
      </rPr>
      <t>塑料桶</t>
    </r>
  </si>
  <si>
    <t>10kg</t>
  </si>
  <si>
    <r>
      <rPr>
        <sz val="10"/>
        <rFont val="宋体"/>
        <charset val="134"/>
      </rPr>
      <t>细口试剂瓶</t>
    </r>
  </si>
  <si>
    <r>
      <rPr>
        <sz val="10"/>
        <rFont val="Times New Roman"/>
        <charset val="134"/>
      </rPr>
      <t>250ml</t>
    </r>
    <r>
      <rPr>
        <sz val="10"/>
        <rFont val="宋体"/>
        <charset val="134"/>
      </rPr>
      <t>棕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</si>
  <si>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棕</t>
    </r>
  </si>
  <si>
    <r>
      <rPr>
        <sz val="10"/>
        <rFont val="Times New Roman"/>
        <charset val="134"/>
      </rPr>
      <t>1000ml</t>
    </r>
    <r>
      <rPr>
        <sz val="10"/>
        <rFont val="宋体"/>
        <charset val="134"/>
      </rPr>
      <t>棕</t>
    </r>
  </si>
  <si>
    <r>
      <rPr>
        <sz val="10"/>
        <rFont val="Times New Roman"/>
        <charset val="134"/>
      </rPr>
      <t>250ml</t>
    </r>
    <r>
      <rPr>
        <sz val="10"/>
        <rFont val="宋体"/>
        <charset val="134"/>
      </rPr>
      <t>白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</si>
  <si>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白</t>
    </r>
  </si>
  <si>
    <r>
      <rPr>
        <sz val="10"/>
        <rFont val="Times New Roman"/>
        <charset val="134"/>
      </rPr>
      <t>1000ml</t>
    </r>
    <r>
      <rPr>
        <sz val="10"/>
        <rFont val="宋体"/>
        <charset val="134"/>
      </rPr>
      <t>白</t>
    </r>
  </si>
  <si>
    <r>
      <rPr>
        <sz val="10"/>
        <rFont val="宋体"/>
        <charset val="134"/>
      </rPr>
      <t>细口玻璃瓶</t>
    </r>
  </si>
  <si>
    <t>3000ml</t>
  </si>
  <si>
    <r>
      <rPr>
        <sz val="10"/>
        <rFont val="宋体"/>
        <charset val="134"/>
      </rPr>
      <t>干燥器</t>
    </r>
  </si>
  <si>
    <t>300mm</t>
  </si>
  <si>
    <t>240mm</t>
  </si>
  <si>
    <r>
      <rPr>
        <sz val="10"/>
        <rFont val="宋体"/>
        <charset val="134"/>
      </rPr>
      <t>聚乙烯试剂瓶</t>
    </r>
  </si>
  <si>
    <r>
      <rPr>
        <sz val="10"/>
        <rFont val="宋体"/>
        <charset val="134"/>
      </rPr>
      <t>聚乙烯瓶</t>
    </r>
  </si>
  <si>
    <r>
      <rPr>
        <sz val="10"/>
        <rFont val="Times New Roman"/>
        <charset val="134"/>
      </rPr>
      <t>1000ml,</t>
    </r>
    <r>
      <rPr>
        <sz val="10"/>
        <rFont val="宋体"/>
        <charset val="134"/>
      </rPr>
      <t>大口</t>
    </r>
  </si>
  <si>
    <r>
      <rPr>
        <sz val="10"/>
        <rFont val="Times New Roman"/>
        <charset val="134"/>
      </rPr>
      <t>500ml</t>
    </r>
    <r>
      <rPr>
        <sz val="10"/>
        <rFont val="宋体"/>
        <charset val="134"/>
      </rPr>
      <t>，大口</t>
    </r>
  </si>
  <si>
    <r>
      <rPr>
        <sz val="10"/>
        <rFont val="宋体"/>
        <charset val="134"/>
      </rPr>
      <t>聚乙烯量杯（有把）</t>
    </r>
  </si>
  <si>
    <r>
      <rPr>
        <sz val="10"/>
        <rFont val="宋体"/>
        <charset val="134"/>
      </rPr>
      <t>容量瓶</t>
    </r>
  </si>
  <si>
    <r>
      <rPr>
        <sz val="10"/>
        <rFont val="宋体"/>
        <charset val="134"/>
      </rPr>
      <t>滴定管台</t>
    </r>
  </si>
  <si>
    <r>
      <rPr>
        <sz val="10"/>
        <rFont val="宋体"/>
        <charset val="134"/>
      </rPr>
      <t>大理石</t>
    </r>
  </si>
  <si>
    <r>
      <rPr>
        <sz val="10"/>
        <rFont val="宋体"/>
        <charset val="134"/>
      </rPr>
      <t>滴定管架（蝴蝶架）</t>
    </r>
  </si>
  <si>
    <r>
      <rPr>
        <sz val="10"/>
        <rFont val="宋体"/>
        <charset val="134"/>
      </rPr>
      <t>铁架台</t>
    </r>
  </si>
  <si>
    <r>
      <rPr>
        <sz val="10"/>
        <rFont val="宋体"/>
        <charset val="134"/>
      </rPr>
      <t>球形冷凝管</t>
    </r>
  </si>
  <si>
    <r>
      <rPr>
        <sz val="10"/>
        <rFont val="宋体"/>
        <charset val="134"/>
      </rPr>
      <t>万能夹</t>
    </r>
  </si>
  <si>
    <r>
      <rPr>
        <sz val="10"/>
        <rFont val="宋体"/>
        <charset val="134"/>
      </rPr>
      <t>冷凝管夹（铁）</t>
    </r>
  </si>
  <si>
    <r>
      <rPr>
        <sz val="10"/>
        <rFont val="宋体"/>
        <charset val="134"/>
      </rPr>
      <t>活动式</t>
    </r>
  </si>
  <si>
    <r>
      <rPr>
        <sz val="10"/>
        <rFont val="宋体"/>
        <charset val="134"/>
      </rPr>
      <t>胶皮管（质量好的）</t>
    </r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</si>
  <si>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</si>
  <si>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磨口锥形瓶</t>
    </r>
  </si>
  <si>
    <r>
      <rPr>
        <sz val="10"/>
        <rFont val="宋体"/>
        <charset val="134"/>
      </rPr>
      <t>打孔器</t>
    </r>
  </si>
  <si>
    <t>6*1</t>
  </si>
  <si>
    <r>
      <rPr>
        <sz val="10"/>
        <rFont val="宋体"/>
        <charset val="134"/>
      </rPr>
      <t>坩锅钳子</t>
    </r>
  </si>
  <si>
    <r>
      <rPr>
        <sz val="10"/>
        <rFont val="宋体"/>
        <charset val="134"/>
      </rPr>
      <t>长（不锈钢）</t>
    </r>
    <r>
      <rPr>
        <sz val="10"/>
        <rFont val="Times New Roman"/>
        <charset val="134"/>
      </rPr>
      <t>35CM</t>
    </r>
  </si>
  <si>
    <r>
      <rPr>
        <sz val="10"/>
        <rFont val="宋体"/>
        <charset val="134"/>
      </rPr>
      <t>有机玻璃漏斗架</t>
    </r>
  </si>
  <si>
    <r>
      <rPr>
        <sz val="10"/>
        <rFont val="Times New Roman"/>
        <charset val="134"/>
      </rPr>
      <t>4-6</t>
    </r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</si>
  <si>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有机玻璃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孔比色管架</t>
    </r>
  </si>
  <si>
    <r>
      <rPr>
        <sz val="10"/>
        <rFont val="宋体"/>
        <charset val="134"/>
      </rPr>
      <t>配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毫升管用</t>
    </r>
    <r>
      <rPr>
        <sz val="10"/>
        <rFont val="Times New Roman"/>
        <charset val="134"/>
      </rPr>
      <t xml:space="preserve">   </t>
    </r>
  </si>
  <si>
    <r>
      <rPr>
        <sz val="10"/>
        <rFont val="宋体"/>
        <charset val="134"/>
      </rPr>
      <t>有机玻璃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孔比色管架</t>
    </r>
  </si>
  <si>
    <r>
      <rPr>
        <sz val="10"/>
        <rFont val="宋体"/>
        <charset val="134"/>
      </rPr>
      <t>配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毫升管用</t>
    </r>
  </si>
  <si>
    <r>
      <rPr>
        <sz val="10"/>
        <rFont val="宋体"/>
        <charset val="134"/>
      </rPr>
      <t>有机玻璃吸管架</t>
    </r>
  </si>
  <si>
    <r>
      <rPr>
        <sz val="10"/>
        <rFont val="宋体"/>
        <charset val="134"/>
      </rPr>
      <t>横式</t>
    </r>
  </si>
  <si>
    <r>
      <rPr>
        <sz val="10"/>
        <rFont val="宋体"/>
        <charset val="134"/>
      </rPr>
      <t>竖式</t>
    </r>
  </si>
  <si>
    <r>
      <rPr>
        <sz val="10"/>
        <rFont val="宋体"/>
        <charset val="134"/>
      </rPr>
      <t>塞子</t>
    </r>
  </si>
  <si>
    <r>
      <rPr>
        <sz val="10"/>
        <rFont val="宋体"/>
        <charset val="134"/>
      </rPr>
      <t>橡皮（各种大小规格）</t>
    </r>
  </si>
  <si>
    <r>
      <rPr>
        <sz val="10"/>
        <rFont val="宋体"/>
        <charset val="134"/>
      </rPr>
      <t>软木（各种大小规格）</t>
    </r>
  </si>
  <si>
    <r>
      <rPr>
        <sz val="10"/>
        <rFont val="宋体"/>
        <charset val="134"/>
      </rPr>
      <t>洗瓶刷</t>
    </r>
  </si>
  <si>
    <r>
      <rPr>
        <sz val="10"/>
        <rFont val="宋体"/>
        <charset val="134"/>
      </rPr>
      <t>大</t>
    </r>
  </si>
  <si>
    <r>
      <rPr>
        <sz val="10"/>
        <rFont val="宋体"/>
        <charset val="134"/>
      </rPr>
      <t>中</t>
    </r>
  </si>
  <si>
    <r>
      <rPr>
        <sz val="10"/>
        <rFont val="宋体"/>
        <charset val="134"/>
      </rPr>
      <t>小</t>
    </r>
  </si>
  <si>
    <r>
      <rPr>
        <sz val="10"/>
        <rFont val="宋体"/>
        <charset val="134"/>
      </rPr>
      <t>滴定管刷</t>
    </r>
  </si>
  <si>
    <r>
      <rPr>
        <sz val="10"/>
        <rFont val="宋体"/>
        <charset val="134"/>
      </rPr>
      <t>长柄</t>
    </r>
    <r>
      <rPr>
        <sz val="10"/>
        <rFont val="Times New Roman"/>
        <charset val="134"/>
      </rPr>
      <t>50ml</t>
    </r>
  </si>
  <si>
    <r>
      <rPr>
        <sz val="10"/>
        <rFont val="宋体"/>
        <charset val="134"/>
      </rPr>
      <t>温度计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</si>
  <si>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℃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</si>
  <si>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℃</t>
    </r>
  </si>
  <si>
    <r>
      <rPr>
        <sz val="10"/>
        <rFont val="宋体"/>
        <charset val="134"/>
      </rPr>
      <t>干湿温度计</t>
    </r>
  </si>
  <si>
    <r>
      <rPr>
        <sz val="10"/>
        <rFont val="宋体"/>
        <charset val="134"/>
      </rPr>
      <t>钟式</t>
    </r>
  </si>
  <si>
    <r>
      <rPr>
        <sz val="10"/>
        <rFont val="宋体"/>
        <charset val="134"/>
      </rPr>
      <t>磁力搅拌子</t>
    </r>
  </si>
  <si>
    <r>
      <rPr>
        <sz val="10"/>
        <rFont val="Times New Roman"/>
        <charset val="134"/>
      </rPr>
      <t xml:space="preserve">25mm </t>
    </r>
    <r>
      <rPr>
        <sz val="10"/>
        <rFont val="宋体"/>
        <charset val="134"/>
      </rPr>
      <t>圆柱形</t>
    </r>
  </si>
  <si>
    <r>
      <rPr>
        <sz val="10"/>
        <rFont val="宋体"/>
        <charset val="134"/>
      </rPr>
      <t>剪刀</t>
    </r>
  </si>
  <si>
    <r>
      <rPr>
        <sz val="10"/>
        <rFont val="Times New Roman"/>
        <charset val="134"/>
      </rPr>
      <t>18cm</t>
    </r>
    <r>
      <rPr>
        <sz val="10"/>
        <rFont val="宋体"/>
        <charset val="134"/>
      </rPr>
      <t>，不锈钢</t>
    </r>
  </si>
  <si>
    <r>
      <rPr>
        <sz val="10"/>
        <rFont val="宋体"/>
        <charset val="134"/>
      </rPr>
      <t>镊子</t>
    </r>
  </si>
  <si>
    <t>16cm</t>
  </si>
  <si>
    <r>
      <rPr>
        <sz val="10"/>
        <rFont val="宋体"/>
        <charset val="134"/>
      </rPr>
      <t>石棉网</t>
    </r>
  </si>
  <si>
    <t>25*25</t>
  </si>
  <si>
    <r>
      <rPr>
        <sz val="10"/>
        <rFont val="宋体"/>
        <charset val="134"/>
      </rPr>
      <t>标签纸</t>
    </r>
  </si>
  <si>
    <r>
      <rPr>
        <sz val="10"/>
        <rFont val="宋体"/>
        <charset val="134"/>
      </rPr>
      <t>大、中、小</t>
    </r>
  </si>
  <si>
    <r>
      <rPr>
        <sz val="10"/>
        <rFont val="宋体"/>
        <charset val="134"/>
      </rPr>
      <t>单位：包</t>
    </r>
  </si>
  <si>
    <r>
      <rPr>
        <sz val="10"/>
        <rFont val="宋体"/>
        <charset val="134"/>
      </rPr>
      <t>不锈钢药匙</t>
    </r>
  </si>
  <si>
    <r>
      <rPr>
        <sz val="10"/>
        <rFont val="宋体"/>
        <charset val="134"/>
      </rPr>
      <t>三件套</t>
    </r>
  </si>
  <si>
    <r>
      <rPr>
        <sz val="10"/>
        <rFont val="宋体"/>
        <charset val="134"/>
      </rPr>
      <t>单位：套</t>
    </r>
  </si>
  <si>
    <r>
      <rPr>
        <sz val="10"/>
        <rFont val="宋体"/>
        <charset val="134"/>
      </rPr>
      <t>长柄不锈钢药匙</t>
    </r>
  </si>
  <si>
    <t>22cm</t>
  </si>
  <si>
    <r>
      <rPr>
        <sz val="10"/>
        <rFont val="宋体"/>
        <charset val="134"/>
      </rPr>
      <t>玻璃珠</t>
    </r>
  </si>
  <si>
    <t>3-4mm</t>
  </si>
  <si>
    <r>
      <rPr>
        <sz val="10"/>
        <rFont val="宋体"/>
        <charset val="134"/>
      </rPr>
      <t>单位：公斤</t>
    </r>
  </si>
  <si>
    <r>
      <rPr>
        <sz val="10"/>
        <rFont val="宋体"/>
        <charset val="134"/>
      </rPr>
      <t>活塞脂</t>
    </r>
  </si>
  <si>
    <r>
      <rPr>
        <sz val="10"/>
        <rFont val="宋体"/>
        <charset val="134"/>
      </rPr>
      <t>单位：盒</t>
    </r>
  </si>
  <si>
    <r>
      <rPr>
        <sz val="10"/>
        <rFont val="宋体"/>
        <charset val="134"/>
      </rPr>
      <t>托盘天平</t>
    </r>
  </si>
  <si>
    <t>200g/0.2g</t>
  </si>
  <si>
    <r>
      <rPr>
        <sz val="10"/>
        <rFont val="宋体"/>
        <charset val="134"/>
      </rPr>
      <t>不锈钢托盘</t>
    </r>
  </si>
  <si>
    <t>25cm*35cm</t>
  </si>
  <si>
    <r>
      <rPr>
        <sz val="10"/>
        <rFont val="宋体"/>
        <charset val="134"/>
      </rPr>
      <t>盖玻片</t>
    </r>
  </si>
  <si>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</si>
  <si>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载玻片</t>
    </r>
  </si>
  <si>
    <r>
      <rPr>
        <sz val="10"/>
        <rFont val="宋体"/>
        <charset val="134"/>
      </rPr>
      <t>不锈钢小桶（采样用）</t>
    </r>
  </si>
  <si>
    <r>
      <rPr>
        <sz val="10"/>
        <rFont val="宋体"/>
        <charset val="134"/>
      </rPr>
      <t>塑料取水瓢（采样用）</t>
    </r>
  </si>
  <si>
    <r>
      <rPr>
        <sz val="10"/>
        <rFont val="宋体"/>
        <charset val="134"/>
      </rPr>
      <t>洗耳球</t>
    </r>
  </si>
  <si>
    <r>
      <rPr>
        <sz val="10"/>
        <rFont val="宋体"/>
        <charset val="134"/>
      </rPr>
      <t>大号</t>
    </r>
  </si>
  <si>
    <r>
      <rPr>
        <sz val="10"/>
        <rFont val="宋体"/>
        <charset val="134"/>
      </rPr>
      <t>中号</t>
    </r>
  </si>
  <si>
    <r>
      <rPr>
        <sz val="10"/>
        <rFont val="宋体"/>
        <charset val="134"/>
      </rPr>
      <t>小号</t>
    </r>
  </si>
  <si>
    <r>
      <rPr>
        <sz val="10"/>
        <rFont val="宋体"/>
        <charset val="134"/>
      </rPr>
      <t>脱脂纱布</t>
    </r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</si>
  <si>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</si>
  <si>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</si>
  <si>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定时钟</t>
    </r>
  </si>
  <si>
    <r>
      <rPr>
        <sz val="10"/>
        <rFont val="宋体"/>
        <charset val="134"/>
      </rPr>
      <t>橡皮筋</t>
    </r>
  </si>
  <si>
    <r>
      <rPr>
        <sz val="10"/>
        <rFont val="宋体"/>
        <charset val="134"/>
      </rPr>
      <t>小包</t>
    </r>
  </si>
  <si>
    <r>
      <rPr>
        <sz val="10"/>
        <rFont val="宋体"/>
        <charset val="134"/>
      </rPr>
      <t>定量滤纸</t>
    </r>
  </si>
  <si>
    <r>
      <rPr>
        <sz val="10"/>
        <rFont val="宋体"/>
        <charset val="134"/>
      </rPr>
      <t>中速</t>
    </r>
    <r>
      <rPr>
        <sz val="10"/>
        <rFont val="Times New Roman"/>
        <charset val="134"/>
      </rPr>
      <t>Φ9cm</t>
    </r>
  </si>
  <si>
    <r>
      <rPr>
        <sz val="10"/>
        <rFont val="宋体"/>
        <charset val="134"/>
      </rPr>
      <t>定性滤纸</t>
    </r>
  </si>
  <si>
    <r>
      <rPr>
        <sz val="10"/>
        <rFont val="宋体"/>
        <charset val="134"/>
      </rPr>
      <t>擦镜纸</t>
    </r>
  </si>
  <si>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</si>
  <si>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>医药用胶手套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耐酸碱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</si>
  <si>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双</t>
    </r>
  </si>
  <si>
    <r>
      <rPr>
        <sz val="10"/>
        <rFont val="宋体"/>
        <charset val="134"/>
      </rPr>
      <t>乳胶手套</t>
    </r>
  </si>
  <si>
    <r>
      <rPr>
        <sz val="10"/>
        <rFont val="宋体"/>
        <charset val="134"/>
      </rPr>
      <t>一次性手套</t>
    </r>
  </si>
  <si>
    <r>
      <rPr>
        <sz val="10"/>
        <rFont val="宋体"/>
        <charset val="134"/>
      </rPr>
      <t>白纱手套</t>
    </r>
  </si>
  <si>
    <r>
      <rPr>
        <sz val="10"/>
        <rFont val="宋体"/>
        <charset val="134"/>
      </rPr>
      <t>厚棉手套</t>
    </r>
  </si>
  <si>
    <r>
      <rPr>
        <sz val="10"/>
        <rFont val="宋体"/>
        <charset val="134"/>
      </rPr>
      <t>口罩</t>
    </r>
  </si>
  <si>
    <r>
      <rPr>
        <sz val="10"/>
        <rFont val="宋体"/>
        <charset val="134"/>
      </rPr>
      <t>棉线绳</t>
    </r>
  </si>
  <si>
    <t>kg</t>
  </si>
  <si>
    <r>
      <rPr>
        <sz val="10"/>
        <rFont val="宋体"/>
        <charset val="134"/>
      </rPr>
      <t>防护眼镜</t>
    </r>
  </si>
  <si>
    <r>
      <rPr>
        <sz val="10"/>
        <rFont val="宋体"/>
        <charset val="134"/>
      </rPr>
      <t>培养皿</t>
    </r>
  </si>
  <si>
    <r>
      <rPr>
        <sz val="10"/>
        <rFont val="宋体"/>
        <charset val="134"/>
      </rPr>
      <t>直径</t>
    </r>
    <r>
      <rPr>
        <sz val="10"/>
        <rFont val="Times New Roman"/>
        <charset val="134"/>
      </rPr>
      <t>100mm</t>
    </r>
  </si>
  <si>
    <r>
      <rPr>
        <sz val="10"/>
        <rFont val="宋体"/>
        <charset val="134"/>
      </rPr>
      <t>试管</t>
    </r>
  </si>
  <si>
    <t>5*150ml</t>
  </si>
  <si>
    <r>
      <rPr>
        <sz val="10"/>
        <rFont val="宋体"/>
        <charset val="134"/>
      </rPr>
      <t>吸管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</si>
  <si>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10ml</t>
    </r>
  </si>
  <si>
    <r>
      <rPr>
        <sz val="10"/>
        <rFont val="宋体"/>
        <charset val="134"/>
      </rPr>
      <t>整套</t>
    </r>
  </si>
  <si>
    <r>
      <rPr>
        <sz val="10"/>
        <rFont val="宋体"/>
        <charset val="134"/>
      </rPr>
      <t>酒精灯</t>
    </r>
  </si>
  <si>
    <r>
      <rPr>
        <sz val="10"/>
        <rFont val="宋体"/>
        <charset val="134"/>
      </rPr>
      <t>镍铬丝接种棒</t>
    </r>
  </si>
  <si>
    <r>
      <rPr>
        <sz val="10"/>
        <rFont val="宋体"/>
        <charset val="134"/>
      </rPr>
      <t>油性记号笔</t>
    </r>
  </si>
  <si>
    <r>
      <rPr>
        <sz val="10"/>
        <rFont val="宋体"/>
        <charset val="134"/>
      </rPr>
      <t>计算器</t>
    </r>
  </si>
  <si>
    <t>CAXIO</t>
  </si>
  <si>
    <r>
      <rPr>
        <sz val="10"/>
        <rFont val="宋体"/>
        <charset val="134"/>
      </rPr>
      <t>轿车</t>
    </r>
  </si>
  <si>
    <r>
      <rPr>
        <sz val="10"/>
        <rFont val="宋体"/>
        <charset val="134"/>
      </rPr>
      <t>辆</t>
    </r>
  </si>
  <si>
    <r>
      <rPr>
        <sz val="10"/>
        <rFont val="宋体"/>
        <charset val="134"/>
      </rPr>
      <t>运泥车</t>
    </r>
  </si>
  <si>
    <t>W=10t</t>
  </si>
  <si>
    <r>
      <rPr>
        <sz val="10"/>
        <rFont val="宋体"/>
        <charset val="134"/>
      </rPr>
      <t>管网检修工具车</t>
    </r>
  </si>
  <si>
    <t>鄂州市航空都市区水环境综合治理项目（一期）投资估算表</t>
  </si>
  <si>
    <t>估算金额（万元）</t>
  </si>
  <si>
    <r>
      <rPr>
        <b/>
        <sz val="10"/>
        <rFont val="宋体"/>
        <charset val="134"/>
      </rPr>
      <t>（一）</t>
    </r>
  </si>
  <si>
    <r>
      <rPr>
        <b/>
        <sz val="10"/>
        <rFont val="宋体"/>
        <charset val="134"/>
      </rPr>
      <t>中沟套港</t>
    </r>
  </si>
  <si>
    <r>
      <rPr>
        <b/>
        <sz val="10"/>
        <color rgb="FFFF0000"/>
        <rFont val="宋体"/>
        <charset val="134"/>
      </rPr>
      <t>截污治污</t>
    </r>
  </si>
  <si>
    <r>
      <rPr>
        <sz val="10"/>
        <color rgb="FFFF0000"/>
        <rFont val="Times New Roman"/>
        <charset val="134"/>
      </rPr>
      <t>DN300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Times New Roman"/>
        <charset val="134"/>
      </rPr>
      <t>HDPE</t>
    </r>
    <r>
      <rPr>
        <sz val="10"/>
        <color rgb="FFFF0000"/>
        <rFont val="宋体"/>
        <charset val="134"/>
      </rPr>
      <t>双壁波纹管</t>
    </r>
  </si>
  <si>
    <r>
      <rPr>
        <sz val="10"/>
        <color rgb="FFFF0000"/>
        <rFont val="宋体"/>
        <charset val="134"/>
      </rPr>
      <t>提升泵站</t>
    </r>
  </si>
  <si>
    <r>
      <rPr>
        <sz val="10"/>
        <color rgb="FFFF0000"/>
        <rFont val="宋体"/>
        <charset val="134"/>
      </rPr>
      <t>座</t>
    </r>
  </si>
  <si>
    <r>
      <rPr>
        <b/>
        <sz val="10"/>
        <rFont val="宋体"/>
        <charset val="134"/>
      </rPr>
      <t>河道整治</t>
    </r>
  </si>
  <si>
    <r>
      <rPr>
        <sz val="10"/>
        <color rgb="FFFF0000"/>
        <rFont val="宋体"/>
        <charset val="134"/>
      </rPr>
      <t>堤防建设</t>
    </r>
  </si>
  <si>
    <r>
      <rPr>
        <sz val="10"/>
        <rFont val="宋体"/>
        <charset val="134"/>
      </rPr>
      <t>断面及结构形式</t>
    </r>
  </si>
  <si>
    <r>
      <rPr>
        <sz val="10"/>
        <color rgb="FFFF0000"/>
        <rFont val="宋体"/>
        <charset val="134"/>
      </rPr>
      <t>河道疏拓</t>
    </r>
  </si>
  <si>
    <t>m³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</si>
  <si>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米高溢流堰</t>
    </r>
  </si>
  <si>
    <r>
      <rPr>
        <sz val="10"/>
        <rFont val="宋体"/>
        <charset val="134"/>
      </rPr>
      <t>座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</si>
  <si>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米宽水闸</t>
    </r>
  </si>
  <si>
    <r>
      <rPr>
        <b/>
        <sz val="10"/>
        <rFont val="宋体"/>
        <charset val="134"/>
      </rPr>
      <t>环保清淤</t>
    </r>
  </si>
  <si>
    <t>3.1</t>
  </si>
  <si>
    <r>
      <rPr>
        <sz val="10"/>
        <color rgb="FFFF0000"/>
        <rFont val="宋体"/>
        <charset val="134"/>
      </rPr>
      <t>底泥原位生态修复</t>
    </r>
  </si>
  <si>
    <r>
      <rPr>
        <sz val="10"/>
        <color rgb="FFFF0000"/>
        <rFont val="Times New Roman"/>
        <charset val="134"/>
      </rPr>
      <t>m</t>
    </r>
    <r>
      <rPr>
        <vertAlign val="superscript"/>
        <sz val="10"/>
        <color rgb="FFFF0000"/>
        <rFont val="Times New Roman"/>
        <charset val="134"/>
      </rPr>
      <t>2</t>
    </r>
  </si>
  <si>
    <t>3.2</t>
  </si>
  <si>
    <r>
      <rPr>
        <sz val="10"/>
        <color rgb="FFFF0000"/>
        <rFont val="宋体"/>
        <charset val="134"/>
      </rPr>
      <t>底泥清淤</t>
    </r>
  </si>
  <si>
    <r>
      <rPr>
        <b/>
        <sz val="10"/>
        <rFont val="宋体"/>
        <charset val="134"/>
      </rPr>
      <t>河道生态修复</t>
    </r>
  </si>
  <si>
    <t>4.1</t>
  </si>
  <si>
    <r>
      <rPr>
        <sz val="10"/>
        <color rgb="FFFF0000"/>
        <rFont val="宋体"/>
        <charset val="134"/>
      </rPr>
      <t>污染源拦截</t>
    </r>
  </si>
  <si>
    <t>4.2</t>
  </si>
  <si>
    <r>
      <rPr>
        <sz val="10"/>
        <color rgb="FFFF0000"/>
        <rFont val="宋体"/>
        <charset val="134"/>
      </rPr>
      <t>湿地系统构建</t>
    </r>
  </si>
  <si>
    <t>4.3</t>
  </si>
  <si>
    <r>
      <rPr>
        <sz val="10"/>
        <color rgb="FFFF0000"/>
        <rFont val="宋体"/>
        <charset val="134"/>
      </rPr>
      <t>碳纤维生态处理</t>
    </r>
  </si>
  <si>
    <t>4.4</t>
  </si>
  <si>
    <r>
      <rPr>
        <sz val="10"/>
        <color rgb="FFFF0000"/>
        <rFont val="宋体"/>
        <charset val="134"/>
      </rPr>
      <t>人工鱼礁鱼巢</t>
    </r>
  </si>
  <si>
    <r>
      <rPr>
        <sz val="10"/>
        <color rgb="FFFF0000"/>
        <rFont val="宋体"/>
        <charset val="134"/>
      </rPr>
      <t>组</t>
    </r>
  </si>
  <si>
    <t>4.5</t>
  </si>
  <si>
    <r>
      <rPr>
        <sz val="10"/>
        <rFont val="宋体"/>
        <charset val="134"/>
      </rPr>
      <t>堤岸生态修复（生态护岸）</t>
    </r>
  </si>
  <si>
    <t>4.6</t>
  </si>
  <si>
    <r>
      <rPr>
        <sz val="10"/>
        <color rgb="FFFF0000"/>
        <rFont val="宋体"/>
        <charset val="134"/>
      </rPr>
      <t>水生植物修复</t>
    </r>
  </si>
  <si>
    <t>4.6.1</t>
  </si>
  <si>
    <r>
      <rPr>
        <sz val="10"/>
        <color rgb="FFFF0000"/>
        <rFont val="宋体"/>
        <charset val="134"/>
      </rPr>
      <t>沉水植物（含水下森林）</t>
    </r>
  </si>
  <si>
    <t>4.6.2</t>
  </si>
  <si>
    <r>
      <rPr>
        <sz val="10"/>
        <color rgb="FFFF0000"/>
        <rFont val="宋体"/>
        <charset val="134"/>
      </rPr>
      <t>浮叶植物（含生态浮岛）</t>
    </r>
  </si>
  <si>
    <t>4.6.3</t>
  </si>
  <si>
    <r>
      <rPr>
        <sz val="10"/>
        <color rgb="FFFF0000"/>
        <rFont val="宋体"/>
        <charset val="134"/>
      </rPr>
      <t>挺水植物</t>
    </r>
  </si>
  <si>
    <t>4.7</t>
  </si>
  <si>
    <r>
      <rPr>
        <sz val="10"/>
        <color rgb="FFFF0000"/>
        <rFont val="宋体"/>
        <charset val="134"/>
      </rPr>
      <t>生态系统建设及平衡控制</t>
    </r>
  </si>
  <si>
    <t>4.8</t>
  </si>
  <si>
    <r>
      <rPr>
        <sz val="10"/>
        <color rgb="FFFF0000"/>
        <rFont val="宋体"/>
        <charset val="134"/>
      </rPr>
      <t>微生物技术</t>
    </r>
  </si>
  <si>
    <t>4.9</t>
  </si>
  <si>
    <r>
      <rPr>
        <sz val="10"/>
        <color rgb="FFFF0000"/>
        <rFont val="宋体"/>
        <charset val="134"/>
      </rPr>
      <t>应急措施</t>
    </r>
  </si>
  <si>
    <r>
      <rPr>
        <b/>
        <sz val="10"/>
        <rFont val="宋体"/>
        <charset val="134"/>
      </rPr>
      <t>桥涵改建</t>
    </r>
  </si>
  <si>
    <r>
      <rPr>
        <sz val="10"/>
        <rFont val="宋体"/>
        <charset val="134"/>
      </rPr>
      <t>改建桥梁</t>
    </r>
  </si>
  <si>
    <r>
      <rPr>
        <b/>
        <sz val="10"/>
        <rFont val="宋体"/>
        <charset val="134"/>
      </rPr>
      <t>河道景观建设</t>
    </r>
  </si>
  <si>
    <r>
      <rPr>
        <sz val="10"/>
        <color rgb="FFFF0000"/>
        <rFont val="宋体"/>
        <charset val="134"/>
      </rPr>
      <t>硬质铺装（石材、透水砖）</t>
    </r>
  </si>
  <si>
    <r>
      <rPr>
        <sz val="10"/>
        <color rgb="FFFF0000"/>
        <rFont val="宋体"/>
        <charset val="134"/>
      </rPr>
      <t>平台栈道（防腐木含基础）</t>
    </r>
  </si>
  <si>
    <r>
      <rPr>
        <sz val="10"/>
        <color rgb="FFFF0000"/>
        <rFont val="宋体"/>
        <charset val="134"/>
      </rPr>
      <t>绿化种植（大中小乔木、灌木、地被）</t>
    </r>
  </si>
  <si>
    <r>
      <rPr>
        <sz val="10"/>
        <color rgb="FFFF0000"/>
        <rFont val="宋体"/>
        <charset val="134"/>
      </rPr>
      <t>跨河景桥（含基础）</t>
    </r>
  </si>
  <si>
    <r>
      <rPr>
        <sz val="10"/>
        <rFont val="宋体"/>
        <charset val="134"/>
      </rPr>
      <t>规格？</t>
    </r>
  </si>
  <si>
    <r>
      <rPr>
        <sz val="10"/>
        <color rgb="FFFF0000"/>
        <rFont val="宋体"/>
        <charset val="134"/>
      </rPr>
      <t>景观小品设施（座具）</t>
    </r>
  </si>
  <si>
    <r>
      <rPr>
        <sz val="10"/>
        <color rgb="FFFF0000"/>
        <rFont val="宋体"/>
        <charset val="134"/>
      </rPr>
      <t>个</t>
    </r>
  </si>
  <si>
    <r>
      <rPr>
        <sz val="10"/>
        <color rgb="FFFF0000"/>
        <rFont val="宋体"/>
        <charset val="134"/>
      </rPr>
      <t>景观小品设施（垃圾箱）</t>
    </r>
  </si>
  <si>
    <r>
      <rPr>
        <sz val="10"/>
        <color rgb="FFFF0000"/>
        <rFont val="宋体"/>
        <charset val="134"/>
      </rPr>
      <t>景观小品设施（标识标牌）</t>
    </r>
  </si>
  <si>
    <r>
      <rPr>
        <sz val="10"/>
        <color rgb="FFFF0000"/>
        <rFont val="宋体"/>
        <charset val="134"/>
      </rPr>
      <t>河岸护栏</t>
    </r>
  </si>
  <si>
    <r>
      <rPr>
        <sz val="10"/>
        <color rgb="FFFF0000"/>
        <rFont val="宋体"/>
        <charset val="134"/>
      </rPr>
      <t>景观构筑物亭廊</t>
    </r>
  </si>
  <si>
    <r>
      <rPr>
        <sz val="10"/>
        <color rgb="FFFF0000"/>
        <rFont val="宋体"/>
        <charset val="134"/>
      </rPr>
      <t>景观场地给排水</t>
    </r>
  </si>
  <si>
    <r>
      <rPr>
        <sz val="10"/>
        <color rgb="FFFF0000"/>
        <rFont val="宋体"/>
        <charset val="134"/>
      </rPr>
      <t>㎡</t>
    </r>
  </si>
  <si>
    <r>
      <rPr>
        <sz val="10"/>
        <color rgb="FFFF0000"/>
        <rFont val="宋体"/>
        <charset val="134"/>
      </rPr>
      <t>景观电气系统</t>
    </r>
  </si>
  <si>
    <r>
      <rPr>
        <sz val="10"/>
        <color rgb="FFFF0000"/>
        <rFont val="宋体"/>
        <charset val="134"/>
      </rPr>
      <t>项</t>
    </r>
  </si>
  <si>
    <r>
      <rPr>
        <b/>
        <sz val="10"/>
        <rFont val="宋体"/>
        <charset val="134"/>
      </rPr>
      <t>智慧水务</t>
    </r>
  </si>
  <si>
    <r>
      <rPr>
        <sz val="10"/>
        <rFont val="宋体"/>
        <charset val="134"/>
      </rPr>
      <t>水质监测站</t>
    </r>
  </si>
  <si>
    <r>
      <rPr>
        <sz val="10"/>
        <rFont val="宋体"/>
        <charset val="134"/>
      </rPr>
      <t>水量监测站</t>
    </r>
  </si>
  <si>
    <r>
      <rPr>
        <sz val="10"/>
        <rFont val="宋体"/>
        <charset val="134"/>
      </rPr>
      <t>闸坝自控点</t>
    </r>
  </si>
  <si>
    <r>
      <rPr>
        <sz val="10"/>
        <rFont val="宋体"/>
        <charset val="134"/>
      </rPr>
      <t>视频监控点</t>
    </r>
  </si>
  <si>
    <r>
      <rPr>
        <sz val="10"/>
        <rFont val="宋体"/>
        <charset val="134"/>
      </rPr>
      <t>主光缆</t>
    </r>
  </si>
  <si>
    <t>km</t>
  </si>
  <si>
    <r>
      <rPr>
        <sz val="10"/>
        <rFont val="宋体"/>
        <charset val="134"/>
      </rPr>
      <t>支光缆</t>
    </r>
  </si>
  <si>
    <r>
      <rPr>
        <sz val="10"/>
        <rFont val="宋体"/>
        <charset val="134"/>
      </rPr>
      <t>保护管</t>
    </r>
  </si>
  <si>
    <r>
      <rPr>
        <sz val="10"/>
        <rFont val="宋体"/>
        <charset val="134"/>
      </rPr>
      <t>手孔井</t>
    </r>
  </si>
  <si>
    <r>
      <rPr>
        <sz val="10"/>
        <rFont val="宋体"/>
        <charset val="134"/>
      </rPr>
      <t>光缆附件</t>
    </r>
  </si>
  <si>
    <r>
      <rPr>
        <sz val="10"/>
        <rFont val="宋体"/>
        <charset val="134"/>
      </rPr>
      <t>无线通讯设备</t>
    </r>
  </si>
  <si>
    <r>
      <rPr>
        <sz val="10"/>
        <rFont val="宋体"/>
        <charset val="134"/>
      </rPr>
      <t>电缆排管</t>
    </r>
  </si>
  <si>
    <r>
      <rPr>
        <sz val="10"/>
        <rFont val="宋体"/>
        <charset val="134"/>
      </rPr>
      <t>电缆井</t>
    </r>
  </si>
  <si>
    <r>
      <rPr>
        <sz val="10"/>
        <rFont val="宋体"/>
        <charset val="134"/>
      </rPr>
      <t>信息化管理平台</t>
    </r>
  </si>
  <si>
    <r>
      <rPr>
        <sz val="10"/>
        <rFont val="宋体"/>
        <charset val="134"/>
      </rPr>
      <t>监控管理中心</t>
    </r>
  </si>
  <si>
    <r>
      <rPr>
        <b/>
        <sz val="10"/>
        <rFont val="宋体"/>
        <charset val="134"/>
      </rPr>
      <t>河道补水</t>
    </r>
  </si>
  <si>
    <r>
      <rPr>
        <sz val="10"/>
        <rFont val="宋体"/>
        <charset val="134"/>
      </rPr>
      <t>现有泵站改造</t>
    </r>
  </si>
  <si>
    <r>
      <rPr>
        <sz val="10"/>
        <rFont val="宋体"/>
        <charset val="134"/>
      </rPr>
      <t>引水渠修复</t>
    </r>
  </si>
  <si>
    <r>
      <rPr>
        <b/>
        <sz val="10"/>
        <rFont val="宋体"/>
        <charset val="134"/>
      </rPr>
      <t>（二）</t>
    </r>
  </si>
  <si>
    <r>
      <rPr>
        <b/>
        <sz val="10"/>
        <rFont val="宋体"/>
        <charset val="134"/>
      </rPr>
      <t>小桥港</t>
    </r>
  </si>
  <si>
    <r>
      <rPr>
        <sz val="10"/>
        <color rgb="FFFF0000"/>
        <rFont val="宋体"/>
        <charset val="134"/>
      </rPr>
      <t>截污构筑物（提升及生化池）</t>
    </r>
  </si>
  <si>
    <r>
      <rPr>
        <sz val="10"/>
        <rFont val="宋体"/>
        <charset val="134"/>
      </rPr>
      <t>处理站还是提升泵站</t>
    </r>
    <r>
      <rPr>
        <sz val="10"/>
        <rFont val="Times New Roman"/>
        <charset val="134"/>
      </rPr>
      <t>?</t>
    </r>
    <r>
      <rPr>
        <sz val="10"/>
        <rFont val="宋体"/>
        <charset val="134"/>
      </rPr>
      <t>明确规模</t>
    </r>
  </si>
  <si>
    <r>
      <rPr>
        <b/>
        <sz val="10"/>
        <color theme="1"/>
        <rFont val="宋体"/>
        <charset val="134"/>
      </rPr>
      <t>河道整治</t>
    </r>
  </si>
  <si>
    <r>
      <rPr>
        <sz val="10"/>
        <color theme="1"/>
        <rFont val="Times New Roman"/>
        <charset val="134"/>
      </rPr>
      <t>1.5m</t>
    </r>
    <r>
      <rPr>
        <sz val="10"/>
        <color theme="1"/>
        <rFont val="宋体"/>
        <charset val="134"/>
      </rPr>
      <t>高溢流堰</t>
    </r>
  </si>
  <si>
    <r>
      <rPr>
        <sz val="10"/>
        <rFont val="宋体"/>
        <charset val="134"/>
      </rPr>
      <t>处理方式？运距</t>
    </r>
  </si>
  <si>
    <r>
      <rPr>
        <b/>
        <sz val="10"/>
        <color theme="1"/>
        <rFont val="宋体"/>
        <charset val="134"/>
      </rPr>
      <t>便道</t>
    </r>
  </si>
  <si>
    <t>项</t>
  </si>
  <si>
    <r>
      <rPr>
        <b/>
        <sz val="10"/>
        <color theme="1"/>
        <rFont val="宋体"/>
        <charset val="134"/>
      </rPr>
      <t>围堰</t>
    </r>
  </si>
  <si>
    <r>
      <rPr>
        <b/>
        <sz val="10"/>
        <color rgb="FFFF0000"/>
        <rFont val="宋体"/>
        <charset val="134"/>
      </rPr>
      <t>河道生态修复</t>
    </r>
  </si>
  <si>
    <t>6.1</t>
  </si>
  <si>
    <t>6.2</t>
  </si>
  <si>
    <t>6.3</t>
  </si>
  <si>
    <t>6.4</t>
  </si>
  <si>
    <t>6.5</t>
  </si>
  <si>
    <r>
      <rPr>
        <sz val="10"/>
        <color rgb="FFFF0000"/>
        <rFont val="宋体"/>
        <charset val="134"/>
      </rPr>
      <t>堤岸生态修复（生态护岸）</t>
    </r>
  </si>
  <si>
    <t>6.6</t>
  </si>
  <si>
    <t>6.6.1</t>
  </si>
  <si>
    <t>6.6.2</t>
  </si>
  <si>
    <t>6.6.3</t>
  </si>
  <si>
    <t>6.7</t>
  </si>
  <si>
    <t>6.8</t>
  </si>
  <si>
    <t>6.9</t>
  </si>
  <si>
    <r>
      <rPr>
        <b/>
        <sz val="10"/>
        <color theme="1"/>
        <rFont val="宋体"/>
        <charset val="134"/>
      </rPr>
      <t>河道景观建设</t>
    </r>
  </si>
  <si>
    <r>
      <rPr>
        <sz val="10"/>
        <rFont val="宋体"/>
        <charset val="134"/>
      </rPr>
      <t>跨河景桥（含基础）</t>
    </r>
  </si>
  <si>
    <r>
      <rPr>
        <sz val="10"/>
        <color rgb="FFFF0000"/>
        <rFont val="宋体"/>
        <charset val="134"/>
      </rPr>
      <t>河岸护栏装饰</t>
    </r>
  </si>
  <si>
    <t>M</t>
  </si>
  <si>
    <r>
      <rPr>
        <b/>
        <sz val="10"/>
        <color theme="1"/>
        <rFont val="宋体"/>
        <charset val="134"/>
      </rPr>
      <t>智慧水务</t>
    </r>
  </si>
  <si>
    <r>
      <rPr>
        <sz val="10"/>
        <color theme="1"/>
        <rFont val="宋体"/>
        <charset val="134"/>
      </rPr>
      <t>水质监测站</t>
    </r>
  </si>
  <si>
    <t>座</t>
  </si>
  <si>
    <r>
      <rPr>
        <sz val="10"/>
        <color theme="1"/>
        <rFont val="宋体"/>
        <charset val="134"/>
      </rPr>
      <t>水量监测站</t>
    </r>
  </si>
  <si>
    <r>
      <rPr>
        <sz val="10"/>
        <color theme="1"/>
        <rFont val="宋体"/>
        <charset val="134"/>
      </rPr>
      <t>视频监控点</t>
    </r>
  </si>
  <si>
    <r>
      <rPr>
        <sz val="10"/>
        <color theme="1"/>
        <rFont val="宋体"/>
        <charset val="134"/>
      </rPr>
      <t>主光缆</t>
    </r>
  </si>
  <si>
    <r>
      <rPr>
        <sz val="10"/>
        <color theme="1"/>
        <rFont val="宋体"/>
        <charset val="134"/>
      </rPr>
      <t>支光缆</t>
    </r>
  </si>
  <si>
    <r>
      <rPr>
        <sz val="10"/>
        <color theme="1"/>
        <rFont val="宋体"/>
        <charset val="134"/>
      </rPr>
      <t>保护管</t>
    </r>
  </si>
  <si>
    <r>
      <rPr>
        <sz val="10"/>
        <color theme="1"/>
        <rFont val="宋体"/>
        <charset val="134"/>
      </rPr>
      <t>手孔井</t>
    </r>
  </si>
  <si>
    <r>
      <rPr>
        <sz val="10"/>
        <color theme="1"/>
        <rFont val="宋体"/>
        <charset val="134"/>
      </rPr>
      <t>光缆附件</t>
    </r>
  </si>
  <si>
    <r>
      <rPr>
        <sz val="10"/>
        <color theme="1"/>
        <rFont val="宋体"/>
        <charset val="134"/>
      </rPr>
      <t>无线通讯设备</t>
    </r>
  </si>
  <si>
    <r>
      <rPr>
        <sz val="10"/>
        <color theme="1"/>
        <rFont val="宋体"/>
        <charset val="134"/>
      </rPr>
      <t>电缆排管</t>
    </r>
  </si>
  <si>
    <r>
      <rPr>
        <sz val="10"/>
        <color theme="1"/>
        <rFont val="宋体"/>
        <charset val="134"/>
      </rPr>
      <t>电缆井</t>
    </r>
  </si>
  <si>
    <r>
      <rPr>
        <sz val="10"/>
        <color theme="1"/>
        <rFont val="宋体"/>
        <charset val="134"/>
      </rPr>
      <t>设备房</t>
    </r>
  </si>
  <si>
    <t>（一）</t>
  </si>
  <si>
    <t>中沟套港</t>
  </si>
  <si>
    <t>截污治污</t>
  </si>
  <si>
    <r>
      <rPr>
        <strike/>
        <sz val="10"/>
        <color rgb="FFFF0000"/>
        <rFont val="Times New Roman"/>
        <charset val="134"/>
      </rPr>
      <t>DN300</t>
    </r>
    <r>
      <rPr>
        <strike/>
        <sz val="10"/>
        <color rgb="FFFF0000"/>
        <rFont val="宋体"/>
        <charset val="134"/>
      </rPr>
      <t>，</t>
    </r>
    <r>
      <rPr>
        <strike/>
        <sz val="10"/>
        <color rgb="FFFF0000"/>
        <rFont val="Times New Roman"/>
        <charset val="134"/>
      </rPr>
      <t>HDPE</t>
    </r>
    <r>
      <rPr>
        <strike/>
        <sz val="10"/>
        <color rgb="FFFF0000"/>
        <rFont val="宋体"/>
        <charset val="134"/>
      </rPr>
      <t>双壁波纹管</t>
    </r>
  </si>
  <si>
    <t>河道整治</t>
  </si>
  <si>
    <t>堤防建设</t>
  </si>
  <si>
    <t>河道疏拓</t>
  </si>
  <si>
    <r>
      <rPr>
        <strike/>
        <sz val="10"/>
        <color rgb="FFFF0000"/>
        <rFont val="Times New Roman"/>
        <charset val="134"/>
      </rPr>
      <t>2</t>
    </r>
    <r>
      <rPr>
        <strike/>
        <sz val="10"/>
        <color rgb="FFFF0000"/>
        <rFont val="宋体"/>
        <charset val="134"/>
      </rPr>
      <t>米高溢流堰</t>
    </r>
  </si>
  <si>
    <t>6米宽水闸</t>
  </si>
  <si>
    <t>拆除原2米宽水闸</t>
  </si>
  <si>
    <t>环保清淤</t>
  </si>
  <si>
    <t>底泥清淤</t>
  </si>
  <si>
    <t>河道生态修复</t>
  </si>
  <si>
    <t>堤岸生态修复</t>
  </si>
  <si>
    <r>
      <rPr>
        <strike/>
        <sz val="10"/>
        <color rgb="FFFF0000"/>
        <rFont val="Times New Roman"/>
        <charset val="134"/>
      </rPr>
      <t>m</t>
    </r>
    <r>
      <rPr>
        <strike/>
        <vertAlign val="superscript"/>
        <sz val="10"/>
        <color rgb="FFFF0000"/>
        <rFont val="Times New Roman"/>
        <charset val="134"/>
      </rPr>
      <t>2</t>
    </r>
  </si>
  <si>
    <t>水生植物修复</t>
  </si>
  <si>
    <t>滩潭系统建设</t>
  </si>
  <si>
    <t>桥涵改建</t>
  </si>
  <si>
    <t>改建桥梁</t>
  </si>
  <si>
    <t>河道景观建设</t>
  </si>
  <si>
    <t>铺装</t>
  </si>
  <si>
    <t>平台栈道</t>
  </si>
  <si>
    <t>绿地</t>
  </si>
  <si>
    <t>跨河景桥</t>
  </si>
  <si>
    <t>座椅</t>
  </si>
  <si>
    <t>垃圾箱</t>
  </si>
  <si>
    <t>电缆变压器等</t>
  </si>
  <si>
    <t>照明灯具</t>
  </si>
  <si>
    <t>智慧水务</t>
  </si>
  <si>
    <t>水质监测站</t>
  </si>
  <si>
    <t>水量监测站</t>
  </si>
  <si>
    <t>闸坝自控点</t>
  </si>
  <si>
    <t>视频监控点</t>
  </si>
  <si>
    <t>主光缆</t>
  </si>
  <si>
    <t>支光缆</t>
  </si>
  <si>
    <t>保护管</t>
  </si>
  <si>
    <t>手孔井</t>
  </si>
  <si>
    <t>光缆附件</t>
  </si>
  <si>
    <t>无线通讯设备</t>
  </si>
  <si>
    <t>电缆排管</t>
  </si>
  <si>
    <t>电缆井</t>
  </si>
  <si>
    <t>信息化管理平台</t>
  </si>
  <si>
    <t>监控管理中心</t>
  </si>
  <si>
    <t>河道补水</t>
  </si>
  <si>
    <t>现有泵站改造</t>
  </si>
  <si>
    <t>泵房及轨道修缮,10m2泵房装修改造，20m水泵滑轨更换，30mDN200碳钢水管更换</t>
  </si>
  <si>
    <t>引水渠修复</t>
  </si>
  <si>
    <t>1.5m宽混凝土引水渠</t>
  </si>
  <si>
    <t>（二）</t>
  </si>
  <si>
    <r>
      <rPr>
        <b/>
        <strike/>
        <sz val="10"/>
        <color rgb="FFFF0000"/>
        <rFont val="宋体"/>
        <charset val="134"/>
      </rPr>
      <t>小桥港</t>
    </r>
  </si>
  <si>
    <r>
      <rPr>
        <b/>
        <strike/>
        <sz val="10"/>
        <color rgb="FFFF0000"/>
        <rFont val="宋体"/>
        <charset val="134"/>
      </rPr>
      <t>截污治污</t>
    </r>
  </si>
  <si>
    <r>
      <rPr>
        <b/>
        <strike/>
        <sz val="10"/>
        <color rgb="FFFF0000"/>
        <rFont val="宋体"/>
        <charset val="134"/>
      </rPr>
      <t>河道整治</t>
    </r>
  </si>
  <si>
    <r>
      <rPr>
        <strike/>
        <sz val="10"/>
        <color rgb="FFFF0000"/>
        <rFont val="宋体"/>
        <charset val="134"/>
      </rPr>
      <t>堤防建设</t>
    </r>
  </si>
  <si>
    <r>
      <rPr>
        <strike/>
        <sz val="10"/>
        <color rgb="FFFF0000"/>
        <rFont val="宋体"/>
        <charset val="134"/>
      </rPr>
      <t>河道疏拓</t>
    </r>
  </si>
  <si>
    <r>
      <rPr>
        <strike/>
        <sz val="10"/>
        <color rgb="FFFF0000"/>
        <rFont val="Times New Roman"/>
        <charset val="134"/>
      </rPr>
      <t>1.5m</t>
    </r>
    <r>
      <rPr>
        <strike/>
        <sz val="10"/>
        <color rgb="FFFF0000"/>
        <rFont val="宋体"/>
        <charset val="134"/>
      </rPr>
      <t>高溢流堰</t>
    </r>
  </si>
  <si>
    <r>
      <rPr>
        <b/>
        <strike/>
        <sz val="10"/>
        <color rgb="FFFF0000"/>
        <rFont val="宋体"/>
        <charset val="134"/>
      </rPr>
      <t>环保清淤</t>
    </r>
  </si>
  <si>
    <r>
      <rPr>
        <strike/>
        <sz val="10"/>
        <color rgb="FFFF0000"/>
        <rFont val="宋体"/>
        <charset val="134"/>
      </rPr>
      <t>底泥清淤</t>
    </r>
  </si>
  <si>
    <r>
      <rPr>
        <b/>
        <strike/>
        <sz val="10"/>
        <color rgb="FFFF0000"/>
        <rFont val="宋体"/>
        <charset val="134"/>
      </rPr>
      <t>便道</t>
    </r>
  </si>
  <si>
    <r>
      <rPr>
        <b/>
        <strike/>
        <sz val="10"/>
        <color rgb="FFFF0000"/>
        <rFont val="宋体"/>
        <charset val="134"/>
      </rPr>
      <t>围堰</t>
    </r>
  </si>
  <si>
    <r>
      <rPr>
        <b/>
        <strike/>
        <sz val="10"/>
        <color rgb="FFFF0000"/>
        <rFont val="宋体"/>
        <charset val="134"/>
      </rPr>
      <t>河道生态修复</t>
    </r>
  </si>
  <si>
    <r>
      <rPr>
        <strike/>
        <sz val="10"/>
        <color rgb="FFFF0000"/>
        <rFont val="宋体"/>
        <charset val="134"/>
      </rPr>
      <t>堤岸生态修复</t>
    </r>
  </si>
  <si>
    <r>
      <rPr>
        <strike/>
        <sz val="10"/>
        <color rgb="FFFF0000"/>
        <rFont val="宋体"/>
        <charset val="134"/>
      </rPr>
      <t>水生植物修复</t>
    </r>
  </si>
  <si>
    <r>
      <rPr>
        <strike/>
        <sz val="10"/>
        <color rgb="FFFF0000"/>
        <rFont val="宋体"/>
        <charset val="134"/>
      </rPr>
      <t>滩潭系统建设</t>
    </r>
  </si>
  <si>
    <r>
      <rPr>
        <b/>
        <strike/>
        <sz val="10"/>
        <color rgb="FFFF0000"/>
        <rFont val="宋体"/>
        <charset val="134"/>
      </rPr>
      <t>河道景观建设</t>
    </r>
  </si>
  <si>
    <r>
      <rPr>
        <strike/>
        <sz val="10"/>
        <color rgb="FFFF0000"/>
        <rFont val="宋体"/>
        <charset val="134"/>
      </rPr>
      <t>铺装</t>
    </r>
  </si>
  <si>
    <r>
      <rPr>
        <strike/>
        <sz val="10"/>
        <color rgb="FFFF0000"/>
        <rFont val="宋体"/>
        <charset val="134"/>
      </rPr>
      <t>平台栈道</t>
    </r>
  </si>
  <si>
    <r>
      <rPr>
        <strike/>
        <sz val="10"/>
        <color rgb="FFFF0000"/>
        <rFont val="宋体"/>
        <charset val="134"/>
      </rPr>
      <t>绿地</t>
    </r>
  </si>
  <si>
    <r>
      <rPr>
        <strike/>
        <sz val="10"/>
        <color rgb="FFFF0000"/>
        <rFont val="宋体"/>
        <charset val="134"/>
      </rPr>
      <t>亭廊</t>
    </r>
  </si>
  <si>
    <r>
      <rPr>
        <strike/>
        <sz val="10"/>
        <color rgb="FFFF0000"/>
        <rFont val="宋体"/>
        <charset val="134"/>
      </rPr>
      <t>跨河景桥</t>
    </r>
  </si>
  <si>
    <r>
      <rPr>
        <strike/>
        <sz val="10"/>
        <color rgb="FFFF0000"/>
        <rFont val="宋体"/>
        <charset val="134"/>
      </rPr>
      <t>卫生间</t>
    </r>
  </si>
  <si>
    <r>
      <rPr>
        <strike/>
        <sz val="10"/>
        <color rgb="FFFF0000"/>
        <rFont val="宋体"/>
        <charset val="134"/>
      </rPr>
      <t>座椅</t>
    </r>
  </si>
  <si>
    <r>
      <rPr>
        <strike/>
        <sz val="10"/>
        <color rgb="FFFF0000"/>
        <rFont val="宋体"/>
        <charset val="134"/>
      </rPr>
      <t>垃圾箱</t>
    </r>
  </si>
  <si>
    <r>
      <rPr>
        <strike/>
        <sz val="10"/>
        <color rgb="FFFF0000"/>
        <rFont val="宋体"/>
        <charset val="134"/>
      </rPr>
      <t>电缆变压器等</t>
    </r>
  </si>
  <si>
    <r>
      <rPr>
        <strike/>
        <sz val="10"/>
        <color rgb="FFFF0000"/>
        <rFont val="宋体"/>
        <charset val="134"/>
      </rPr>
      <t>照明灯具</t>
    </r>
  </si>
  <si>
    <r>
      <rPr>
        <b/>
        <strike/>
        <sz val="10"/>
        <color rgb="FFFF0000"/>
        <rFont val="宋体"/>
        <charset val="134"/>
      </rPr>
      <t>智慧水务</t>
    </r>
  </si>
  <si>
    <r>
      <rPr>
        <strike/>
        <sz val="10"/>
        <color rgb="FFFF0000"/>
        <rFont val="宋体"/>
        <charset val="134"/>
      </rPr>
      <t>水质监测站</t>
    </r>
  </si>
  <si>
    <r>
      <rPr>
        <strike/>
        <sz val="10"/>
        <color rgb="FFFF0000"/>
        <rFont val="宋体"/>
        <charset val="134"/>
      </rPr>
      <t>水量监测站</t>
    </r>
  </si>
  <si>
    <r>
      <rPr>
        <strike/>
        <sz val="10"/>
        <color rgb="FFFF0000"/>
        <rFont val="宋体"/>
        <charset val="134"/>
      </rPr>
      <t>视频监控点</t>
    </r>
  </si>
  <si>
    <r>
      <rPr>
        <strike/>
        <sz val="10"/>
        <color rgb="FFFF0000"/>
        <rFont val="宋体"/>
        <charset val="134"/>
      </rPr>
      <t>主光缆</t>
    </r>
  </si>
  <si>
    <r>
      <rPr>
        <strike/>
        <sz val="10"/>
        <color rgb="FFFF0000"/>
        <rFont val="宋体"/>
        <charset val="134"/>
      </rPr>
      <t>支光缆</t>
    </r>
  </si>
  <si>
    <r>
      <rPr>
        <strike/>
        <sz val="10"/>
        <color rgb="FFFF0000"/>
        <rFont val="宋体"/>
        <charset val="134"/>
      </rPr>
      <t>保护管</t>
    </r>
  </si>
  <si>
    <r>
      <rPr>
        <strike/>
        <sz val="10"/>
        <color rgb="FFFF0000"/>
        <rFont val="宋体"/>
        <charset val="134"/>
      </rPr>
      <t>手孔井</t>
    </r>
  </si>
  <si>
    <r>
      <rPr>
        <strike/>
        <sz val="10"/>
        <color rgb="FFFF0000"/>
        <rFont val="宋体"/>
        <charset val="134"/>
      </rPr>
      <t>光缆附件</t>
    </r>
  </si>
  <si>
    <r>
      <rPr>
        <strike/>
        <sz val="10"/>
        <color rgb="FFFF0000"/>
        <rFont val="宋体"/>
        <charset val="134"/>
      </rPr>
      <t>无线通讯设备</t>
    </r>
  </si>
  <si>
    <r>
      <rPr>
        <strike/>
        <sz val="10"/>
        <color rgb="FFFF0000"/>
        <rFont val="宋体"/>
        <charset val="134"/>
      </rPr>
      <t>电缆排管</t>
    </r>
  </si>
  <si>
    <r>
      <rPr>
        <strike/>
        <sz val="10"/>
        <color rgb="FFFF0000"/>
        <rFont val="宋体"/>
        <charset val="134"/>
      </rPr>
      <t>电缆井</t>
    </r>
  </si>
  <si>
    <r>
      <rPr>
        <strike/>
        <sz val="10"/>
        <color rgb="FFFF0000"/>
        <rFont val="宋体"/>
        <charset val="134"/>
      </rPr>
      <t>设备房</t>
    </r>
  </si>
  <si>
    <t>（三）</t>
  </si>
  <si>
    <t>花湖开发区污水处理厂一期工程</t>
  </si>
  <si>
    <t>t/d</t>
  </si>
  <si>
    <t>厂区总图</t>
  </si>
  <si>
    <t>绿化面积</t>
  </si>
  <si>
    <t>总图管线</t>
  </si>
  <si>
    <t>门卫</t>
  </si>
  <si>
    <t>大门</t>
  </si>
  <si>
    <t>粗格栅</t>
  </si>
  <si>
    <t>提升泵房</t>
  </si>
  <si>
    <t>细格栅</t>
  </si>
  <si>
    <t>曝气沉砂池</t>
  </si>
  <si>
    <t>生化池</t>
  </si>
  <si>
    <t>二沉池</t>
  </si>
  <si>
    <t>雨水提升泵房</t>
  </si>
  <si>
    <t>贮泥池</t>
  </si>
  <si>
    <t>鼓风机房</t>
  </si>
  <si>
    <t>污泥浓缩脱水间</t>
  </si>
  <si>
    <t>变配电间</t>
  </si>
  <si>
    <t>检修间</t>
  </si>
  <si>
    <t>电气</t>
  </si>
  <si>
    <t>自控</t>
  </si>
  <si>
    <t>仪表</t>
  </si>
  <si>
    <t>24</t>
  </si>
  <si>
    <t>25</t>
  </si>
  <si>
    <t>机修设备</t>
  </si>
  <si>
    <t>26</t>
  </si>
  <si>
    <t>运输车辆</t>
  </si>
  <si>
    <t>27</t>
  </si>
  <si>
    <t>外电</t>
  </si>
  <si>
    <t>28</t>
  </si>
  <si>
    <t>（四）</t>
  </si>
  <si>
    <t>新增管网</t>
  </si>
  <si>
    <r>
      <rPr>
        <b/>
        <sz val="10"/>
        <rFont val="Times New Roman"/>
        <charset val="134"/>
      </rPr>
      <t>3m</t>
    </r>
    <r>
      <rPr>
        <b/>
        <sz val="10"/>
        <rFont val="宋体"/>
        <charset val="134"/>
      </rPr>
      <t>以上考虑钢板桩支护，含</t>
    </r>
    <r>
      <rPr>
        <b/>
        <sz val="10"/>
        <rFont val="Times New Roman"/>
        <charset val="134"/>
      </rPr>
      <t>3m</t>
    </r>
    <r>
      <rPr>
        <b/>
        <sz val="10"/>
        <rFont val="宋体"/>
        <charset val="134"/>
      </rPr>
      <t>以下只考虑排水</t>
    </r>
  </si>
  <si>
    <t>塑料检查井</t>
  </si>
  <si>
    <t>污水管道</t>
  </si>
  <si>
    <t>综合单价</t>
  </si>
  <si>
    <t>施工费</t>
  </si>
  <si>
    <t>措施费</t>
  </si>
  <si>
    <t>材料费</t>
  </si>
  <si>
    <t>个单价</t>
  </si>
  <si>
    <t>间距</t>
  </si>
  <si>
    <t>折合米单价</t>
  </si>
  <si>
    <t>HDPE双壁波纹管,DN300</t>
  </si>
  <si>
    <t>平均埋深2.0m</t>
  </si>
  <si>
    <t>HDPE双壁波纹管,DN400</t>
  </si>
  <si>
    <t>HDPE双壁波纹管,DN500</t>
  </si>
  <si>
    <t>平均埋深3.0m</t>
  </si>
  <si>
    <t>HDPE双壁波纹管,DN600</t>
  </si>
  <si>
    <t>HDPE钢带增强管,DN800</t>
  </si>
  <si>
    <t>平均埋深3.5m</t>
  </si>
  <si>
    <t>HDPE钢带增强管,DN900</t>
  </si>
  <si>
    <t>HDPE钢带增强管,DN1000</t>
  </si>
  <si>
    <t>HDPE钢带增强管,DN1200</t>
  </si>
  <si>
    <t>HDPE钢带增强管,DN1400</t>
  </si>
  <si>
    <t>平均埋深4.5m</t>
  </si>
  <si>
    <t>HDPE钢带增强管,DN1500</t>
  </si>
  <si>
    <t>压力管道</t>
  </si>
  <si>
    <t>焊接钢管,DN250</t>
  </si>
  <si>
    <t>平均埋深1.5m</t>
  </si>
  <si>
    <t>焊接钢管,DN500</t>
  </si>
  <si>
    <t>焊接钢管,DN600</t>
  </si>
  <si>
    <t>雨水管道</t>
  </si>
  <si>
    <t>平均埋深4.0m</t>
  </si>
  <si>
    <t>HDPE钢带增强管,DN1800</t>
  </si>
  <si>
    <t>HDPE钢带增强管,DN2000</t>
  </si>
  <si>
    <t>平均埋深5m</t>
  </si>
  <si>
    <t>一体化提升泵站</t>
  </si>
  <si>
    <t>1万吨/d</t>
  </si>
  <si>
    <t>2万吨/d</t>
  </si>
  <si>
    <t>钢筋混凝土顶管,DN300</t>
  </si>
  <si>
    <t>钢筋混凝土顶管,DN1000</t>
  </si>
  <si>
    <t>钢筋混凝土顶管,DN1500</t>
  </si>
  <si>
    <t>顶管工作井,DN300</t>
  </si>
  <si>
    <t>顶管工作井,DN1000</t>
  </si>
  <si>
    <t>顶管工作井,DN1500</t>
  </si>
  <si>
    <t>城市道路沥青路面修复</t>
  </si>
  <si>
    <t>城市道路混凝土路面修复</t>
  </si>
  <si>
    <t>（五）</t>
  </si>
  <si>
    <t>管网改造</t>
  </si>
  <si>
    <t>钢筋混凝土箱涵,5m×2m</t>
  </si>
  <si>
    <t>平均埋深2m</t>
  </si>
  <si>
    <t>钢筋混凝土管,DN2000</t>
  </si>
  <si>
    <t>重复</t>
  </si>
  <si>
    <t>钢筋混凝土顶管,DN600</t>
  </si>
  <si>
    <t>钢筋混凝土顶管,DN1200</t>
  </si>
  <si>
    <t>钢筋混凝土顶管,DN2000</t>
  </si>
  <si>
    <t>顶管工作井,DN600</t>
  </si>
  <si>
    <t>顶管工作井,DN1200</t>
  </si>
  <si>
    <t>顶管工作井,DN2000</t>
  </si>
  <si>
    <t>拆除雨水管网,DN800</t>
  </si>
  <si>
    <t>拆除污水管网,DN800</t>
  </si>
  <si>
    <t>人行道修复</t>
  </si>
  <si>
    <t>站石、卧石</t>
  </si>
  <si>
    <t>拆除现有雨水口</t>
  </si>
  <si>
    <t>封堵现有检查井</t>
  </si>
  <si>
    <t>车行道下检查井加固</t>
  </si>
  <si>
    <t>双篦雨水口加固</t>
  </si>
  <si>
    <t>钢管支墩</t>
  </si>
  <si>
    <t>污水管网</t>
  </si>
  <si>
    <r>
      <rPr>
        <strike/>
        <sz val="10"/>
        <rFont val="Times New Roman"/>
        <charset val="134"/>
      </rPr>
      <t>DN300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</si>
  <si>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DN400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</si>
  <si>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DN500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</si>
  <si>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DN600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</si>
  <si>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DN700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</si>
  <si>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DN800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</si>
  <si>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DN1000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</si>
  <si>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r>
      <rPr>
        <strike/>
        <sz val="10"/>
        <rFont val="Times New Roman"/>
        <charset val="134"/>
      </rPr>
      <t>DN1200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双壁波纹管</t>
    </r>
  </si>
  <si>
    <t>水泥道路破除及修复</t>
  </si>
  <si>
    <r>
      <rPr>
        <strike/>
        <sz val="10"/>
        <rFont val="Times New Roman"/>
        <charset val="134"/>
      </rPr>
      <t>m</t>
    </r>
    <r>
      <rPr>
        <strike/>
        <vertAlign val="superscript"/>
        <sz val="10"/>
        <rFont val="Times New Roman"/>
        <charset val="134"/>
      </rPr>
      <t>2</t>
    </r>
  </si>
  <si>
    <t>破拆沥青路</t>
  </si>
  <si>
    <r>
      <rPr>
        <strike/>
        <sz val="10"/>
        <rFont val="Times New Roman"/>
        <charset val="134"/>
      </rPr>
      <t>DN1000</t>
    </r>
    <r>
      <rPr>
        <strike/>
        <sz val="10"/>
        <rFont val="宋体"/>
        <charset val="134"/>
      </rPr>
      <t>管道顶管</t>
    </r>
  </si>
  <si>
    <r>
      <rPr>
        <strike/>
        <sz val="10"/>
        <rFont val="Times New Roman"/>
        <charset val="134"/>
      </rPr>
      <t>DN800</t>
    </r>
    <r>
      <rPr>
        <strike/>
        <sz val="10"/>
        <rFont val="宋体"/>
        <charset val="134"/>
      </rPr>
      <t>管道顶管</t>
    </r>
  </si>
  <si>
    <r>
      <rPr>
        <strike/>
        <sz val="10"/>
        <rFont val="Times New Roman"/>
        <charset val="134"/>
      </rPr>
      <t>DN1200</t>
    </r>
    <r>
      <rPr>
        <strike/>
        <sz val="10"/>
        <rFont val="宋体"/>
        <charset val="134"/>
      </rPr>
      <t>管道顶管</t>
    </r>
  </si>
  <si>
    <r>
      <rPr>
        <strike/>
        <sz val="10"/>
        <rFont val="Times New Roman"/>
        <charset val="134"/>
      </rPr>
      <t>DN300</t>
    </r>
    <r>
      <rPr>
        <strike/>
        <sz val="10"/>
        <rFont val="宋体"/>
        <charset val="134"/>
      </rPr>
      <t>管道顶管</t>
    </r>
  </si>
  <si>
    <r>
      <rPr>
        <strike/>
        <sz val="10"/>
        <rFont val="Times New Roman"/>
        <charset val="134"/>
      </rPr>
      <t>DN1000</t>
    </r>
    <r>
      <rPr>
        <strike/>
        <sz val="10"/>
        <rFont val="宋体"/>
        <charset val="134"/>
      </rPr>
      <t>顶管工作井</t>
    </r>
  </si>
  <si>
    <r>
      <rPr>
        <strike/>
        <sz val="10"/>
        <rFont val="Times New Roman"/>
        <charset val="134"/>
      </rPr>
      <t>DN1000</t>
    </r>
    <r>
      <rPr>
        <strike/>
        <sz val="10"/>
        <rFont val="宋体"/>
        <charset val="134"/>
      </rPr>
      <t>顶管接收井</t>
    </r>
  </si>
  <si>
    <r>
      <rPr>
        <strike/>
        <sz val="10"/>
        <rFont val="Times New Roman"/>
        <charset val="134"/>
      </rPr>
      <t>DN800</t>
    </r>
    <r>
      <rPr>
        <strike/>
        <sz val="10"/>
        <rFont val="宋体"/>
        <charset val="134"/>
      </rPr>
      <t>顶管工作井</t>
    </r>
  </si>
  <si>
    <r>
      <rPr>
        <strike/>
        <sz val="10"/>
        <rFont val="Times New Roman"/>
        <charset val="134"/>
      </rPr>
      <t>DN800</t>
    </r>
    <r>
      <rPr>
        <strike/>
        <sz val="10"/>
        <rFont val="宋体"/>
        <charset val="134"/>
      </rPr>
      <t>顶管接收井</t>
    </r>
  </si>
  <si>
    <r>
      <rPr>
        <strike/>
        <sz val="10"/>
        <rFont val="Times New Roman"/>
        <charset val="134"/>
      </rPr>
      <t>DN1200</t>
    </r>
    <r>
      <rPr>
        <strike/>
        <sz val="10"/>
        <rFont val="宋体"/>
        <charset val="134"/>
      </rPr>
      <t>顶管工作井</t>
    </r>
  </si>
  <si>
    <r>
      <rPr>
        <strike/>
        <sz val="10"/>
        <rFont val="Times New Roman"/>
        <charset val="134"/>
      </rPr>
      <t>DN1200</t>
    </r>
    <r>
      <rPr>
        <strike/>
        <sz val="10"/>
        <rFont val="宋体"/>
        <charset val="134"/>
      </rPr>
      <t>顶管接收井</t>
    </r>
  </si>
  <si>
    <r>
      <rPr>
        <strike/>
        <sz val="10"/>
        <rFont val="Times New Roman"/>
        <charset val="134"/>
      </rPr>
      <t>DN300</t>
    </r>
    <r>
      <rPr>
        <strike/>
        <sz val="10"/>
        <rFont val="宋体"/>
        <charset val="134"/>
      </rPr>
      <t>顶管工作井</t>
    </r>
  </si>
  <si>
    <r>
      <rPr>
        <strike/>
        <sz val="10"/>
        <rFont val="Times New Roman"/>
        <charset val="134"/>
      </rPr>
      <t>DN300</t>
    </r>
    <r>
      <rPr>
        <strike/>
        <sz val="10"/>
        <rFont val="宋体"/>
        <charset val="134"/>
      </rPr>
      <t>顶管接收井</t>
    </r>
  </si>
  <si>
    <t>提升泵站</t>
  </si>
  <si>
    <t>新建雨水管网</t>
  </si>
  <si>
    <r>
      <rPr>
        <strike/>
        <sz val="10"/>
        <rFont val="Times New Roman"/>
        <charset val="134"/>
      </rPr>
      <t>DN1500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钢带增强管</t>
    </r>
  </si>
  <si>
    <r>
      <rPr>
        <strike/>
        <sz val="10"/>
        <rFont val="Times New Roman"/>
        <charset val="134"/>
      </rPr>
      <t>DN1800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钢带增强管</t>
    </r>
  </si>
  <si>
    <r>
      <rPr>
        <strike/>
        <sz val="10"/>
        <rFont val="Times New Roman"/>
        <charset val="134"/>
      </rPr>
      <t>DN2000</t>
    </r>
    <r>
      <rPr>
        <strike/>
        <sz val="10"/>
        <rFont val="宋体"/>
        <charset val="134"/>
      </rPr>
      <t>，</t>
    </r>
    <r>
      <rPr>
        <strike/>
        <sz val="10"/>
        <rFont val="Times New Roman"/>
        <charset val="134"/>
      </rPr>
      <t>HDPE</t>
    </r>
    <r>
      <rPr>
        <strike/>
        <sz val="10"/>
        <rFont val="宋体"/>
        <charset val="134"/>
      </rPr>
      <t>钢带增强管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</si>
  <si>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2*2m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</si>
  <si>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2.5*2m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</si>
  <si>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3*2m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</si>
  <si>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4*2m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</si>
  <si>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5*2m</t>
    </r>
  </si>
  <si>
    <r>
      <rPr>
        <strike/>
        <sz val="10"/>
        <rFont val="宋体"/>
        <charset val="134"/>
      </rPr>
      <t>雨水箱涵，</t>
    </r>
    <r>
      <rPr>
        <strike/>
        <sz val="10"/>
        <rFont val="Times New Roman"/>
        <charset val="134"/>
      </rPr>
      <t>7*2m</t>
    </r>
  </si>
  <si>
    <t>（六）</t>
  </si>
  <si>
    <t>雨污分流工程</t>
  </si>
  <si>
    <r>
      <rPr>
        <strike/>
        <sz val="10"/>
        <rFont val="Times New Roman"/>
        <charset val="134"/>
      </rPr>
      <t>DN500</t>
    </r>
    <r>
      <rPr>
        <strike/>
        <sz val="10"/>
        <rFont val="宋体"/>
        <charset val="134"/>
      </rPr>
      <t>，焊接钢管</t>
    </r>
  </si>
  <si>
    <r>
      <rPr>
        <strike/>
        <sz val="10"/>
        <rFont val="宋体"/>
        <charset val="134"/>
      </rPr>
      <t>雨污水交汇井，</t>
    </r>
    <r>
      <rPr>
        <strike/>
        <sz val="10"/>
        <rFont val="Times New Roman"/>
        <charset val="134"/>
      </rPr>
      <t>4000×2900</t>
    </r>
  </si>
  <si>
    <r>
      <rPr>
        <strike/>
        <sz val="10"/>
        <rFont val="Times New Roman"/>
        <charset val="134"/>
      </rPr>
      <t>m</t>
    </r>
    <r>
      <rPr>
        <strike/>
        <sz val="9"/>
        <rFont val="Times New Roman"/>
        <charset val="134"/>
      </rPr>
      <t>2</t>
    </r>
  </si>
  <si>
    <t>中间花坛</t>
  </si>
  <si>
    <t>拆除现有检查井</t>
  </si>
  <si>
    <t>拆除现有管道</t>
  </si>
  <si>
    <t>政府负责</t>
  </si>
  <si>
    <t>拆迁安置补偿费</t>
  </si>
  <si>
    <r>
      <rPr>
        <sz val="10"/>
        <rFont val="宋体"/>
        <charset val="134"/>
      </rPr>
      <t>按发改价格</t>
    </r>
    <r>
      <rPr>
        <sz val="10"/>
        <rFont val="Times New Roman"/>
        <charset val="134"/>
      </rPr>
      <t>[2007]670</t>
    </r>
    <r>
      <rPr>
        <sz val="10"/>
        <rFont val="宋体"/>
        <charset val="134"/>
      </rPr>
      <t>号文计算</t>
    </r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</si>
  <si>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1999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1283</t>
    </r>
    <r>
      <rPr>
        <sz val="10"/>
        <rFont val="宋体"/>
        <charset val="134"/>
      </rPr>
      <t>号文计算</t>
    </r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</si>
  <si>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号文计算</t>
    </r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</si>
  <si>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总体设计费</t>
    </r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</si>
  <si>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主体设计协调费</t>
    </r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</si>
  <si>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竣工图编制费</t>
    </r>
  </si>
  <si>
    <r>
      <rPr>
        <sz val="10"/>
        <rFont val="宋体"/>
        <charset val="134"/>
      </rPr>
      <t>按计价格［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］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号文计算</t>
    </r>
  </si>
  <si>
    <t>劳动安全卫生评审费</t>
  </si>
  <si>
    <r>
      <rPr>
        <sz val="10"/>
        <rFont val="宋体"/>
        <charset val="134"/>
      </rPr>
      <t>按第一部份工程费用的</t>
    </r>
    <r>
      <rPr>
        <sz val="10"/>
        <rFont val="Times New Roman"/>
        <charset val="134"/>
      </rPr>
      <t>0.5%</t>
    </r>
    <r>
      <rPr>
        <sz val="10"/>
        <rFont val="宋体"/>
        <charset val="134"/>
      </rPr>
      <t>计算</t>
    </r>
  </si>
  <si>
    <r>
      <rPr>
        <sz val="10"/>
        <rFont val="宋体"/>
        <charset val="134"/>
      </rPr>
      <t>工程保险费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</si>
  <si>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按第一部份工程费用的</t>
    </r>
    <r>
      <rPr>
        <sz val="10"/>
        <rFont val="Times New Roman"/>
        <charset val="134"/>
      </rPr>
      <t>0.6%</t>
    </r>
    <r>
      <rPr>
        <sz val="10"/>
        <rFont val="宋体"/>
        <charset val="134"/>
      </rPr>
      <t>计算</t>
    </r>
  </si>
  <si>
    <t>招标代理服务费</t>
  </si>
  <si>
    <r>
      <rPr>
        <sz val="10"/>
        <rFont val="宋体"/>
        <charset val="134"/>
      </rPr>
      <t>按</t>
    </r>
    <r>
      <rPr>
        <sz val="10"/>
        <rFont val="Times New Roman"/>
        <charset val="134"/>
      </rPr>
      <t>[2002]1980</t>
    </r>
    <r>
      <rPr>
        <sz val="10"/>
        <rFont val="宋体"/>
        <charset val="134"/>
      </rPr>
      <t>号文</t>
    </r>
    <r>
      <rPr>
        <sz val="10"/>
        <rFont val="宋体"/>
        <charset val="134"/>
      </rPr>
      <t>及发改价格</t>
    </r>
    <r>
      <rPr>
        <sz val="10"/>
        <rFont val="Times New Roman"/>
        <charset val="134"/>
      </rPr>
      <t>[2011]534</t>
    </r>
    <r>
      <rPr>
        <sz val="10"/>
        <rFont val="宋体"/>
        <charset val="134"/>
      </rPr>
      <t>号文计算</t>
    </r>
  </si>
  <si>
    <r>
      <rPr>
        <sz val="10"/>
        <rFont val="宋体"/>
        <charset val="134"/>
      </rPr>
      <t>按鄂价工服规</t>
    </r>
    <r>
      <rPr>
        <sz val="10"/>
        <rFont val="Times New Roman"/>
        <charset val="134"/>
      </rPr>
      <t>[2011]23</t>
    </r>
    <r>
      <rPr>
        <sz val="10"/>
        <rFont val="宋体"/>
        <charset val="134"/>
      </rPr>
      <t>号计算</t>
    </r>
  </si>
  <si>
    <t>社会稳定风险报告编制及评价费</t>
  </si>
  <si>
    <r>
      <rPr>
        <sz val="10"/>
        <rFont val="宋体"/>
        <charset val="134"/>
      </rPr>
      <t>参考沪发改投</t>
    </r>
    <r>
      <rPr>
        <sz val="10"/>
        <rFont val="Times New Roman"/>
        <charset val="134"/>
      </rPr>
      <t>[2012]130</t>
    </r>
    <r>
      <rPr>
        <sz val="10"/>
        <rFont val="宋体"/>
        <charset val="134"/>
      </rPr>
      <t>号计算</t>
    </r>
  </si>
  <si>
    <r>
      <rPr>
        <sz val="10"/>
        <rFont val="宋体"/>
        <charset val="134"/>
      </rPr>
      <t>按保监</t>
    </r>
    <r>
      <rPr>
        <sz val="10"/>
        <rFont val="Times New Roman"/>
        <charset val="134"/>
      </rPr>
      <t>[2005]22</t>
    </r>
    <r>
      <rPr>
        <sz val="10"/>
        <rFont val="宋体"/>
        <charset val="134"/>
      </rPr>
      <t>号计算</t>
    </r>
  </si>
  <si>
    <r>
      <rPr>
        <b/>
        <sz val="10"/>
        <rFont val="宋体"/>
        <charset val="134"/>
      </rPr>
      <t>基本预备费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)*8%</t>
    </r>
  </si>
  <si>
    <t>注意：
1、厂区原地况地貌三通一平由政府负责，未计入总投资；
2、地基处理、基坑支护、降排水等措施由于无地勘资料，未计入总投资，后期按实际发生结算。
3、不包括出户管及小市政管网改造投资。</t>
  </si>
  <si>
    <t>一期</t>
  </si>
  <si>
    <t>总投资</t>
  </si>
  <si>
    <t>小泉港</t>
  </si>
  <si>
    <t>花湖一期</t>
  </si>
  <si>
    <t>雨水管网</t>
  </si>
  <si>
    <t>雨污分流</t>
  </si>
  <si>
    <t>鄂州市航空都市区水环境综合治理项目（二期）投资估算表</t>
  </si>
  <si>
    <r>
      <rPr>
        <b/>
        <sz val="10"/>
        <rFont val="宋体"/>
        <charset val="134"/>
      </rPr>
      <t>花马湖港</t>
    </r>
  </si>
  <si>
    <t>DN300，HDPE双壁波纹管</t>
  </si>
  <si>
    <t>底泥原位生态修复</t>
  </si>
  <si>
    <t>污染源拦截</t>
  </si>
  <si>
    <t>湿地系统构建</t>
  </si>
  <si>
    <t>碳纤维生态处理</t>
  </si>
  <si>
    <t>人工鱼礁鱼巢</t>
  </si>
  <si>
    <t>组</t>
  </si>
  <si>
    <t>堤岸生态修复（生态护岸）</t>
  </si>
  <si>
    <t>沉水植物（含水下森林）</t>
  </si>
  <si>
    <t>浮叶植物（含生态浮岛）</t>
  </si>
  <si>
    <t>挺水植物</t>
  </si>
  <si>
    <t>生态系统建设及平衡控制</t>
  </si>
  <si>
    <t>微生物技术</t>
  </si>
  <si>
    <t>硬质铺装（石材、透水砖）</t>
  </si>
  <si>
    <t>平台栈道（防腐木含基础）</t>
  </si>
  <si>
    <t>绿化种植（大中小乔木、灌木、地被）</t>
  </si>
  <si>
    <t>景观小品设施（座具）</t>
  </si>
  <si>
    <t>景观小品设施（垃圾箱）</t>
  </si>
  <si>
    <t>景观小品设施（标识标牌）</t>
  </si>
  <si>
    <t>河岸护栏装饰</t>
  </si>
  <si>
    <t>景观构筑物亭廊</t>
  </si>
  <si>
    <t>景观场地给排水</t>
  </si>
  <si>
    <t>景观电气系统</t>
  </si>
  <si>
    <r>
      <rPr>
        <sz val="10"/>
        <color theme="1"/>
        <rFont val="宋体"/>
        <charset val="134"/>
      </rPr>
      <t>泵站自控点</t>
    </r>
  </si>
  <si>
    <r>
      <rPr>
        <sz val="10"/>
        <color theme="1"/>
        <rFont val="宋体"/>
        <charset val="134"/>
      </rPr>
      <t>闸坝自控点</t>
    </r>
  </si>
  <si>
    <r>
      <rPr>
        <sz val="10"/>
        <color theme="1"/>
        <rFont val="宋体"/>
        <charset val="134"/>
      </rPr>
      <t>生态环境感知系统站点</t>
    </r>
  </si>
  <si>
    <r>
      <rPr>
        <sz val="10"/>
        <color theme="1"/>
        <rFont val="宋体"/>
        <charset val="134"/>
      </rPr>
      <t>监控管理平台</t>
    </r>
  </si>
  <si>
    <r>
      <rPr>
        <sz val="10"/>
        <color theme="1"/>
        <rFont val="宋体"/>
        <charset val="134"/>
      </rPr>
      <t>监控调度中心</t>
    </r>
  </si>
  <si>
    <t>锁泉港（葫芦港）</t>
  </si>
  <si>
    <r>
      <rPr>
        <sz val="10"/>
        <color rgb="FFFF0000"/>
        <rFont val="Times New Roman"/>
        <charset val="134"/>
      </rPr>
      <t>DN400</t>
    </r>
    <r>
      <rPr>
        <sz val="10"/>
        <color rgb="FFFF0000"/>
        <rFont val="宋体"/>
        <charset val="134"/>
      </rPr>
      <t>，</t>
    </r>
    <r>
      <rPr>
        <sz val="10"/>
        <color rgb="FFFF0000"/>
        <rFont val="Times New Roman"/>
        <charset val="134"/>
      </rPr>
      <t>HDPE</t>
    </r>
    <r>
      <rPr>
        <sz val="10"/>
        <color rgb="FFFF0000"/>
        <rFont val="宋体"/>
        <charset val="134"/>
      </rPr>
      <t>双壁波纹管</t>
    </r>
  </si>
  <si>
    <t>截污构筑物（提升及生化池）</t>
  </si>
  <si>
    <t>便道</t>
  </si>
  <si>
    <t>围堰</t>
  </si>
  <si>
    <t>应急措施</t>
  </si>
  <si>
    <t>跨河景桥（含基础）</t>
  </si>
  <si>
    <t>河岸护栏</t>
  </si>
  <si>
    <t>抽水泵站</t>
  </si>
  <si>
    <r>
      <rPr>
        <b/>
        <sz val="10"/>
        <color theme="1"/>
        <rFont val="宋体"/>
        <charset val="134"/>
      </rPr>
      <t>截污治污</t>
    </r>
  </si>
  <si>
    <r>
      <rPr>
        <sz val="10"/>
        <color theme="1"/>
        <rFont val="宋体"/>
        <charset val="134"/>
      </rPr>
      <t>堤防建设</t>
    </r>
  </si>
  <si>
    <r>
      <rPr>
        <sz val="10"/>
        <color theme="1"/>
        <rFont val="宋体"/>
        <charset val="134"/>
      </rPr>
      <t>河道疏拓</t>
    </r>
  </si>
  <si>
    <r>
      <rPr>
        <b/>
        <sz val="10"/>
        <color theme="1"/>
        <rFont val="宋体"/>
        <charset val="134"/>
      </rPr>
      <t>环保清淤</t>
    </r>
  </si>
  <si>
    <r>
      <rPr>
        <sz val="10"/>
        <color theme="1"/>
        <rFont val="宋体"/>
        <charset val="134"/>
      </rPr>
      <t>底泥清淤</t>
    </r>
  </si>
  <si>
    <r>
      <rPr>
        <b/>
        <sz val="10"/>
        <color theme="1"/>
        <rFont val="宋体"/>
        <charset val="134"/>
      </rPr>
      <t>河道生态修复</t>
    </r>
  </si>
  <si>
    <r>
      <rPr>
        <sz val="10"/>
        <color theme="1"/>
        <rFont val="宋体"/>
        <charset val="134"/>
      </rPr>
      <t>堤岸生态修复</t>
    </r>
  </si>
  <si>
    <r>
      <rPr>
        <sz val="10"/>
        <color theme="1"/>
        <rFont val="Times New Roman"/>
        <charset val="134"/>
      </rPr>
      <t>m</t>
    </r>
    <r>
      <rPr>
        <vertAlign val="superscript"/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</si>
  <si>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水生植物修复</t>
    </r>
  </si>
  <si>
    <r>
      <rPr>
        <sz val="10"/>
        <color theme="1"/>
        <rFont val="宋体"/>
        <charset val="134"/>
      </rPr>
      <t>滩潭系统建设</t>
    </r>
  </si>
  <si>
    <r>
      <rPr>
        <sz val="10"/>
        <color theme="1"/>
        <rFont val="宋体"/>
        <charset val="134"/>
      </rPr>
      <t>河口湿地建设</t>
    </r>
  </si>
  <si>
    <r>
      <rPr>
        <sz val="10"/>
        <color theme="1"/>
        <rFont val="宋体"/>
        <charset val="134"/>
      </rPr>
      <t>铺装</t>
    </r>
  </si>
  <si>
    <r>
      <rPr>
        <sz val="10"/>
        <color theme="1"/>
        <rFont val="宋体"/>
        <charset val="134"/>
      </rPr>
      <t>平台栈道</t>
    </r>
  </si>
  <si>
    <r>
      <rPr>
        <sz val="10"/>
        <color theme="1"/>
        <rFont val="宋体"/>
        <charset val="134"/>
      </rPr>
      <t>绿地</t>
    </r>
  </si>
  <si>
    <r>
      <rPr>
        <sz val="10"/>
        <color theme="1"/>
        <rFont val="宋体"/>
        <charset val="134"/>
      </rPr>
      <t>亭廊</t>
    </r>
  </si>
  <si>
    <r>
      <rPr>
        <sz val="10"/>
        <color theme="1"/>
        <rFont val="宋体"/>
        <charset val="134"/>
      </rPr>
      <t>跨河景桥</t>
    </r>
  </si>
  <si>
    <r>
      <rPr>
        <sz val="10"/>
        <color theme="1"/>
        <rFont val="宋体"/>
        <charset val="134"/>
      </rPr>
      <t>卫生间</t>
    </r>
  </si>
  <si>
    <r>
      <rPr>
        <sz val="10"/>
        <color theme="1"/>
        <rFont val="宋体"/>
        <charset val="134"/>
      </rPr>
      <t>座椅</t>
    </r>
  </si>
  <si>
    <r>
      <rPr>
        <sz val="10"/>
        <color theme="1"/>
        <rFont val="宋体"/>
        <charset val="134"/>
      </rPr>
      <t>垃圾箱</t>
    </r>
  </si>
  <si>
    <r>
      <rPr>
        <sz val="10"/>
        <color theme="1"/>
        <rFont val="宋体"/>
        <charset val="134"/>
      </rPr>
      <t>电缆变压器等</t>
    </r>
  </si>
  <si>
    <r>
      <rPr>
        <sz val="10"/>
        <color theme="1"/>
        <rFont val="宋体"/>
        <charset val="134"/>
      </rPr>
      <t>照明灯具</t>
    </r>
  </si>
  <si>
    <r>
      <rPr>
        <sz val="10"/>
        <rFont val="Times New Roman"/>
        <charset val="134"/>
      </rPr>
      <t>DN300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双壁波纹管</t>
    </r>
  </si>
  <si>
    <t>㎡</t>
  </si>
  <si>
    <t>亭廊</t>
  </si>
  <si>
    <t>卫生间</t>
  </si>
  <si>
    <t>2台22kw水泵，一用一备</t>
  </si>
  <si>
    <t>污水处理厂</t>
  </si>
  <si>
    <t>花湖开发区污水处理厂二期工程</t>
  </si>
  <si>
    <t>地上</t>
  </si>
  <si>
    <t>航空都市区再生水厂(近期)</t>
  </si>
  <si>
    <t>地下</t>
  </si>
  <si>
    <t>2.1</t>
  </si>
  <si>
    <t>总平面工程</t>
  </si>
  <si>
    <t>土方开挖</t>
  </si>
  <si>
    <t>土方回填</t>
  </si>
  <si>
    <t>地面景观公园</t>
  </si>
  <si>
    <t>门卫室</t>
  </si>
  <si>
    <t>2.2</t>
  </si>
  <si>
    <t>箱体构筑物</t>
  </si>
  <si>
    <t>2.3</t>
  </si>
  <si>
    <t>高精度水力旋流除砂系统</t>
  </si>
  <si>
    <t>精细格栅</t>
  </si>
  <si>
    <t>生化池（多级AO）</t>
  </si>
  <si>
    <t>矩形周进周出二沉池</t>
  </si>
  <si>
    <t>紫外消毒渠</t>
  </si>
  <si>
    <t>巴氏计量槽1</t>
  </si>
  <si>
    <t>中水回用池及巴氏计量槽2（按照5万t/d预留）</t>
  </si>
  <si>
    <t>尾水泵房</t>
  </si>
  <si>
    <t>加药间</t>
  </si>
  <si>
    <t>水源热泵系统</t>
  </si>
  <si>
    <t>污泥浓缩脱水系统</t>
  </si>
  <si>
    <t>生物除臭单元</t>
  </si>
  <si>
    <t>2.4</t>
  </si>
  <si>
    <t>管廊</t>
  </si>
  <si>
    <t>2.5</t>
  </si>
  <si>
    <t>通风系统</t>
  </si>
  <si>
    <t>2.6</t>
  </si>
  <si>
    <t>消防系统</t>
  </si>
  <si>
    <t>2.7</t>
  </si>
  <si>
    <t>2.8</t>
  </si>
  <si>
    <t>2.9</t>
  </si>
  <si>
    <t>2.10</t>
  </si>
  <si>
    <t>2.11</t>
  </si>
  <si>
    <t>2.12</t>
  </si>
  <si>
    <t>2.13</t>
  </si>
  <si>
    <t>市政用水接入</t>
  </si>
  <si>
    <t>2.14</t>
  </si>
  <si>
    <t>外电接入费</t>
  </si>
  <si>
    <t>2.15</t>
  </si>
  <si>
    <t>工器具购置费</t>
  </si>
  <si>
    <t>航空都市区再生水厂(远期)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</si>
  <si>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</si>
  <si>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</si>
  <si>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</si>
  <si>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</si>
  <si>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</si>
  <si>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</si>
  <si>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</si>
  <si>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</si>
  <si>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</si>
  <si>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</si>
  <si>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</si>
  <si>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</si>
  <si>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</si>
  <si>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r>
      <rPr>
        <sz val="10"/>
        <rFont val="Times New Roman"/>
        <charset val="134"/>
      </rPr>
      <t>DN400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双壁波纹管</t>
    </r>
  </si>
  <si>
    <r>
      <rPr>
        <sz val="10"/>
        <rFont val="Times New Roman"/>
        <charset val="134"/>
      </rPr>
      <t>DN500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双壁波纹管</t>
    </r>
  </si>
  <si>
    <r>
      <rPr>
        <sz val="10"/>
        <rFont val="Times New Roman"/>
        <charset val="134"/>
      </rPr>
      <t>DN600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双壁波纹管</t>
    </r>
  </si>
  <si>
    <r>
      <rPr>
        <sz val="10"/>
        <rFont val="Times New Roman"/>
        <charset val="134"/>
      </rPr>
      <t>DN700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双壁波纹管</t>
    </r>
  </si>
  <si>
    <r>
      <rPr>
        <sz val="10"/>
        <rFont val="Times New Roman"/>
        <charset val="134"/>
      </rPr>
      <t>DN800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钢带增强管</t>
    </r>
  </si>
  <si>
    <r>
      <rPr>
        <sz val="10"/>
        <rFont val="Times New Roman"/>
        <charset val="134"/>
      </rPr>
      <t>DN1500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钢带增强管</t>
    </r>
  </si>
  <si>
    <r>
      <rPr>
        <sz val="10"/>
        <rFont val="Times New Roman"/>
        <charset val="134"/>
      </rPr>
      <t>DN1200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钢带增强管</t>
    </r>
  </si>
  <si>
    <r>
      <rPr>
        <sz val="10"/>
        <rFont val="Times New Roman"/>
        <charset val="134"/>
      </rPr>
      <t>DN1800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HDPE</t>
    </r>
    <r>
      <rPr>
        <sz val="10"/>
        <rFont val="宋体"/>
        <charset val="134"/>
      </rPr>
      <t>钢带增强管</t>
    </r>
  </si>
  <si>
    <r>
      <rPr>
        <sz val="10"/>
        <rFont val="Times New Roman"/>
        <charset val="134"/>
      </rPr>
      <t>DN2000</t>
    </r>
    <r>
      <rPr>
        <sz val="10"/>
        <rFont val="宋体"/>
        <charset val="134"/>
      </rPr>
      <t>，混凝土管</t>
    </r>
  </si>
  <si>
    <r>
      <rPr>
        <sz val="10"/>
        <rFont val="Times New Roman"/>
        <charset val="134"/>
      </rPr>
      <t>DN2400</t>
    </r>
    <r>
      <rPr>
        <sz val="10"/>
        <rFont val="宋体"/>
        <charset val="134"/>
      </rPr>
      <t>，混凝土管</t>
    </r>
  </si>
  <si>
    <t>深基坑监测费</t>
  </si>
  <si>
    <t>二期</t>
  </si>
  <si>
    <t>花马湖港</t>
  </si>
  <si>
    <t>锁泉港</t>
  </si>
  <si>
    <t>花湖二期</t>
  </si>
  <si>
    <t>航空都市区水厂近期</t>
  </si>
  <si>
    <t>航空都市区水厂远期</t>
  </si>
  <si>
    <t>花湖污水厂各阶段工程投资汇总表（一阶段深度处理土建2万m3/d，含粗格栅）</t>
  </si>
  <si>
    <r>
      <rPr>
        <b/>
        <sz val="10"/>
        <color theme="1"/>
        <rFont val="宋体"/>
        <charset val="134"/>
      </rPr>
      <t>费用名称</t>
    </r>
  </si>
  <si>
    <r>
      <rPr>
        <b/>
        <sz val="10"/>
        <color theme="1"/>
        <rFont val="宋体"/>
        <charset val="134"/>
      </rPr>
      <t>花湖污水厂一期一阶段</t>
    </r>
  </si>
  <si>
    <r>
      <rPr>
        <b/>
        <sz val="10"/>
        <color theme="1"/>
        <rFont val="宋体"/>
        <charset val="134"/>
      </rPr>
      <t>花湖污水厂一期二阶段</t>
    </r>
  </si>
  <si>
    <r>
      <rPr>
        <b/>
        <sz val="10"/>
        <color theme="1"/>
        <rFont val="宋体"/>
        <charset val="134"/>
      </rPr>
      <t>花湖污水厂二期</t>
    </r>
  </si>
  <si>
    <t>合计(万元）</t>
  </si>
  <si>
    <r>
      <rPr>
        <sz val="10"/>
        <color theme="1"/>
        <rFont val="宋体"/>
        <charset val="134"/>
      </rPr>
      <t>第一部分工程费用</t>
    </r>
  </si>
  <si>
    <r>
      <rPr>
        <sz val="10"/>
        <color theme="1"/>
        <rFont val="宋体"/>
        <charset val="134"/>
      </rPr>
      <t>其他费用</t>
    </r>
  </si>
  <si>
    <r>
      <rPr>
        <sz val="10"/>
        <color theme="1"/>
        <rFont val="宋体"/>
        <charset val="134"/>
      </rPr>
      <t>征地费</t>
    </r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</si>
</sst>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0.00&quot; &quot;"/>
    <numFmt numFmtId="179" formatCode="0_ "/>
    <numFmt numFmtId="180" formatCode="0&quot; &quot;;\(0\)"/>
    <numFmt numFmtId="181" formatCode="0_);[Red]\(0\)"/>
    <numFmt numFmtId="182" formatCode="0.00_);[Red]\(0.00\)"/>
    <numFmt numFmtId="183" formatCode="0.0_ "/>
  </numFmts>
  <fonts count="6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0"/>
      <color rgb="FFFF0000"/>
      <name val="Times New Roman"/>
      <charset val="134"/>
    </font>
    <font>
      <sz val="10"/>
      <color rgb="FFFF0000"/>
      <name val="Times New Roman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trike/>
      <sz val="10"/>
      <color rgb="FFFF0000"/>
      <name val="Times New Roman"/>
      <charset val="134"/>
    </font>
    <font>
      <strike/>
      <sz val="10"/>
      <name val="Times New Roman"/>
      <charset val="134"/>
    </font>
    <font>
      <b/>
      <strike/>
      <sz val="10"/>
      <color rgb="FFFF0000"/>
      <name val="宋体"/>
      <charset val="134"/>
    </font>
    <font>
      <b/>
      <strike/>
      <sz val="10"/>
      <color rgb="FFFF0000"/>
      <name val="Times New Roman"/>
      <charset val="134"/>
    </font>
    <font>
      <strike/>
      <sz val="10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trike/>
      <sz val="10"/>
      <name val="宋体"/>
      <charset val="134"/>
    </font>
    <font>
      <b/>
      <strike/>
      <sz val="10"/>
      <name val="宋体"/>
      <charset val="134"/>
    </font>
    <font>
      <b/>
      <strike/>
      <sz val="10"/>
      <name val="Times New Roman"/>
      <charset val="134"/>
    </font>
    <font>
      <sz val="9"/>
      <color rgb="FFFF0000"/>
      <name val="宋体"/>
      <charset val="134"/>
    </font>
    <font>
      <strike/>
      <sz val="9"/>
      <name val="宋体"/>
      <charset val="134"/>
    </font>
    <font>
      <strike/>
      <sz val="10"/>
      <color theme="1"/>
      <name val="Times New Roma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9"/>
      <color theme="1"/>
      <name val="宋体"/>
      <charset val="134"/>
      <scheme val="minor"/>
    </font>
    <font>
      <vertAlign val="superscript"/>
      <sz val="10"/>
      <color rgb="FFFF0000"/>
      <name val="Times New Roman"/>
      <charset val="134"/>
    </font>
    <font>
      <vertAlign val="superscript"/>
      <sz val="10"/>
      <color theme="1"/>
      <name val="Times New Roman"/>
      <charset val="134"/>
    </font>
    <font>
      <vertAlign val="superscript"/>
      <sz val="10"/>
      <name val="Times New Roman"/>
      <charset val="134"/>
    </font>
    <font>
      <strike/>
      <vertAlign val="superscript"/>
      <sz val="10"/>
      <color rgb="FFFF0000"/>
      <name val="Times New Roman"/>
      <charset val="134"/>
    </font>
    <font>
      <strike/>
      <vertAlign val="superscript"/>
      <sz val="10"/>
      <name val="Times New Roman"/>
      <charset val="134"/>
    </font>
    <font>
      <strike/>
      <sz val="9"/>
      <name val="Times New Roman"/>
      <charset val="134"/>
    </font>
    <font>
      <b/>
      <vertAlign val="superscript"/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1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/>
    <xf numFmtId="0" fontId="35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7" fillId="27" borderId="27" applyNumberFormat="0" applyAlignment="0" applyProtection="0">
      <alignment vertical="center"/>
    </xf>
    <xf numFmtId="0" fontId="48" fillId="27" borderId="24" applyNumberFormat="0" applyAlignment="0" applyProtection="0">
      <alignment vertical="center"/>
    </xf>
    <xf numFmtId="0" fontId="49" fillId="29" borderId="28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3" fillId="0" borderId="0" applyProtection="0"/>
    <xf numFmtId="0" fontId="3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3" fillId="0" borderId="0"/>
    <xf numFmtId="0" fontId="32" fillId="0" borderId="0"/>
  </cellStyleXfs>
  <cellXfs count="38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9" fontId="9" fillId="0" borderId="0" xfId="63" applyNumberFormat="1" applyFont="1" applyFill="1" applyBorder="1" applyAlignment="1" applyProtection="1">
      <alignment horizontal="center" vertical="center"/>
      <protection locked="0"/>
    </xf>
    <xf numFmtId="0" fontId="10" fillId="0" borderId="0" xfId="63" applyFont="1" applyFill="1" applyBorder="1" applyAlignment="1" applyProtection="1">
      <alignment horizontal="left" vertical="center" wrapText="1"/>
      <protection locked="0"/>
    </xf>
    <xf numFmtId="176" fontId="10" fillId="0" borderId="0" xfId="63" applyNumberFormat="1" applyFont="1" applyFill="1" applyBorder="1" applyAlignment="1" applyProtection="1">
      <alignment horizontal="center" vertical="center"/>
      <protection locked="0"/>
    </xf>
    <xf numFmtId="49" fontId="11" fillId="0" borderId="1" xfId="63" applyNumberFormat="1" applyFont="1" applyFill="1" applyBorder="1" applyAlignment="1" applyProtection="1">
      <alignment horizontal="center" vertical="center" shrinkToFit="1"/>
      <protection locked="0"/>
    </xf>
    <xf numFmtId="177" fontId="11" fillId="0" borderId="2" xfId="63" applyNumberFormat="1" applyFont="1" applyFill="1" applyBorder="1" applyAlignment="1" applyProtection="1">
      <alignment horizontal="center" vertical="center" wrapText="1" shrinkToFit="1"/>
      <protection locked="0"/>
    </xf>
    <xf numFmtId="176" fontId="11" fillId="0" borderId="2" xfId="63" applyNumberFormat="1" applyFont="1" applyFill="1" applyBorder="1" applyAlignment="1" applyProtection="1">
      <alignment horizontal="center" vertical="center" shrinkToFit="1"/>
      <protection locked="0"/>
    </xf>
    <xf numFmtId="176" fontId="7" fillId="0" borderId="2" xfId="63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63" applyNumberFormat="1" applyFont="1" applyFill="1" applyBorder="1" applyAlignment="1" applyProtection="1">
      <alignment horizontal="center" vertical="center" shrinkToFit="1"/>
      <protection locked="0"/>
    </xf>
    <xf numFmtId="177" fontId="7" fillId="0" borderId="5" xfId="63" applyNumberFormat="1" applyFont="1" applyFill="1" applyBorder="1" applyAlignment="1" applyProtection="1">
      <alignment horizontal="center" vertical="center" wrapText="1" shrinkToFit="1"/>
      <protection locked="0"/>
    </xf>
    <xf numFmtId="176" fontId="11" fillId="0" borderId="5" xfId="63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63" applyNumberFormat="1" applyFont="1" applyFill="1" applyBorder="1" applyAlignment="1" applyProtection="1">
      <alignment horizontal="center" vertical="center" shrinkToFit="1"/>
      <protection locked="0"/>
    </xf>
    <xf numFmtId="177" fontId="11" fillId="0" borderId="5" xfId="63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5" xfId="63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58" applyNumberFormat="1" applyFont="1" applyFill="1" applyBorder="1" applyAlignment="1" applyProtection="1">
      <alignment horizontal="center" vertical="center"/>
      <protection locked="0"/>
    </xf>
    <xf numFmtId="0" fontId="7" fillId="0" borderId="5" xfId="58" applyFont="1" applyFill="1" applyBorder="1" applyAlignment="1" applyProtection="1">
      <alignment horizontal="left" vertical="center" wrapText="1"/>
      <protection locked="0"/>
    </xf>
    <xf numFmtId="176" fontId="7" fillId="0" borderId="5" xfId="5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58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horizontal="left" vertical="center"/>
    </xf>
    <xf numFmtId="176" fontId="13" fillId="0" borderId="5" xfId="58" applyNumberFormat="1" applyFont="1" applyFill="1" applyBorder="1" applyAlignment="1" applyProtection="1">
      <alignment horizontal="center" vertical="center"/>
      <protection locked="0"/>
    </xf>
    <xf numFmtId="176" fontId="13" fillId="0" borderId="5" xfId="58" applyNumberFormat="1" applyFont="1" applyFill="1" applyBorder="1" applyAlignment="1" applyProtection="1">
      <alignment horizontal="center" vertical="center"/>
    </xf>
    <xf numFmtId="0" fontId="8" fillId="0" borderId="5" xfId="58" applyFont="1" applyFill="1" applyBorder="1" applyAlignment="1" applyProtection="1">
      <alignment horizontal="left" vertical="center" wrapText="1" shrinkToFit="1"/>
      <protection locked="0"/>
    </xf>
    <xf numFmtId="176" fontId="8" fillId="0" borderId="5" xfId="58" applyNumberFormat="1" applyFont="1" applyFill="1" applyBorder="1" applyAlignment="1" applyProtection="1">
      <alignment horizontal="center" vertical="center"/>
      <protection locked="0"/>
    </xf>
    <xf numFmtId="176" fontId="8" fillId="0" borderId="5" xfId="58" applyNumberFormat="1" applyFont="1" applyFill="1" applyBorder="1" applyAlignment="1" applyProtection="1">
      <alignment horizontal="center" vertical="center"/>
    </xf>
    <xf numFmtId="49" fontId="7" fillId="0" borderId="4" xfId="58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176" fontId="13" fillId="2" borderId="5" xfId="58" applyNumberFormat="1" applyFont="1" applyFill="1" applyBorder="1" applyAlignment="1" applyProtection="1">
      <alignment horizontal="center" vertical="center"/>
      <protection locked="0"/>
    </xf>
    <xf numFmtId="176" fontId="13" fillId="2" borderId="5" xfId="58" applyNumberFormat="1" applyFont="1" applyFill="1" applyBorder="1" applyAlignment="1" applyProtection="1">
      <alignment horizontal="center" vertical="center"/>
    </xf>
    <xf numFmtId="49" fontId="14" fillId="3" borderId="10" xfId="0" applyNumberFormat="1" applyFont="1" applyFill="1" applyBorder="1" applyAlignment="1">
      <alignment vertical="center"/>
    </xf>
    <xf numFmtId="0" fontId="11" fillId="0" borderId="5" xfId="58" applyFont="1" applyFill="1" applyBorder="1" applyAlignment="1" applyProtection="1">
      <alignment horizontal="left" vertical="center" wrapText="1"/>
      <protection locked="0"/>
    </xf>
    <xf numFmtId="178" fontId="14" fillId="3" borderId="11" xfId="0" applyNumberFormat="1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horizontal="left" vertical="center" wrapText="1"/>
    </xf>
    <xf numFmtId="49" fontId="15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176" fontId="7" fillId="0" borderId="5" xfId="58" applyNumberFormat="1" applyFont="1" applyFill="1" applyBorder="1" applyAlignment="1" applyProtection="1">
      <alignment horizontal="center" vertical="center"/>
    </xf>
    <xf numFmtId="0" fontId="16" fillId="0" borderId="5" xfId="58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0" fillId="0" borderId="0" xfId="63" applyFont="1" applyFill="1" applyBorder="1" applyAlignment="1" applyProtection="1">
      <alignment horizontal="center" vertical="center" wrapText="1" shrinkToFit="1"/>
      <protection locked="0"/>
    </xf>
    <xf numFmtId="179" fontId="11" fillId="0" borderId="2" xfId="63" applyNumberFormat="1" applyFont="1" applyFill="1" applyBorder="1" applyAlignment="1" applyProtection="1">
      <alignment horizontal="center" vertical="center" wrapText="1" shrinkToFit="1"/>
      <protection locked="0"/>
    </xf>
    <xf numFmtId="177" fontId="11" fillId="0" borderId="3" xfId="63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5" xfId="63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6" xfId="63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7" fillId="0" borderId="5" xfId="58" applyFont="1" applyFill="1" applyBorder="1" applyAlignment="1" applyProtection="1">
      <alignment horizontal="center" vertical="center" wrapText="1"/>
      <protection locked="0"/>
    </xf>
    <xf numFmtId="2" fontId="7" fillId="0" borderId="5" xfId="58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58" applyFont="1" applyFill="1" applyBorder="1" applyAlignment="1" applyProtection="1">
      <alignment horizontal="center" vertical="center" wrapText="1" shrinkToFit="1"/>
      <protection locked="0"/>
    </xf>
    <xf numFmtId="0" fontId="13" fillId="0" borderId="5" xfId="0" applyFont="1" applyFill="1" applyBorder="1" applyAlignment="1">
      <alignment horizontal="center" vertical="center"/>
    </xf>
    <xf numFmtId="179" fontId="13" fillId="0" borderId="5" xfId="58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0" borderId="6" xfId="58" applyFont="1" applyFill="1" applyBorder="1" applyAlignment="1" applyProtection="1">
      <alignment horizontal="center" vertical="center" wrapText="1" shrinkToFit="1"/>
      <protection locked="0"/>
    </xf>
    <xf numFmtId="0" fontId="14" fillId="3" borderId="11" xfId="0" applyFont="1" applyFill="1" applyBorder="1" applyAlignment="1">
      <alignment vertical="center"/>
    </xf>
    <xf numFmtId="49" fontId="13" fillId="3" borderId="11" xfId="0" applyNumberFormat="1" applyFont="1" applyFill="1" applyBorder="1" applyAlignment="1">
      <alignment vertical="center"/>
    </xf>
    <xf numFmtId="180" fontId="14" fillId="3" borderId="11" xfId="0" applyNumberFormat="1" applyFont="1" applyFill="1" applyBorder="1" applyAlignment="1">
      <alignment vertical="center"/>
    </xf>
    <xf numFmtId="0" fontId="14" fillId="3" borderId="11" xfId="0" applyNumberFormat="1" applyFont="1" applyFill="1" applyBorder="1" applyAlignment="1">
      <alignment vertical="center"/>
    </xf>
    <xf numFmtId="181" fontId="1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178" fontId="18" fillId="3" borderId="11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49" fontId="11" fillId="2" borderId="4" xfId="58" applyNumberFormat="1" applyFont="1" applyFill="1" applyBorder="1" applyAlignment="1" applyProtection="1">
      <alignment horizontal="center" vertical="center"/>
      <protection locked="0"/>
    </xf>
    <xf numFmtId="0" fontId="7" fillId="2" borderId="5" xfId="58" applyFont="1" applyFill="1" applyBorder="1" applyAlignment="1" applyProtection="1">
      <alignment horizontal="left" vertical="center" wrapText="1"/>
      <protection locked="0"/>
    </xf>
    <xf numFmtId="176" fontId="7" fillId="2" borderId="5" xfId="58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58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/>
    </xf>
    <xf numFmtId="176" fontId="8" fillId="2" borderId="5" xfId="58" applyNumberFormat="1" applyFont="1" applyFill="1" applyBorder="1" applyAlignment="1" applyProtection="1">
      <alignment horizontal="center" vertical="center"/>
      <protection locked="0"/>
    </xf>
    <xf numFmtId="176" fontId="8" fillId="2" borderId="5" xfId="58" applyNumberFormat="1" applyFont="1" applyFill="1" applyBorder="1" applyAlignment="1" applyProtection="1">
      <alignment horizontal="center" vertical="center"/>
    </xf>
    <xf numFmtId="0" fontId="8" fillId="2" borderId="5" xfId="58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2" borderId="5" xfId="58" applyFont="1" applyFill="1" applyBorder="1" applyAlignment="1" applyProtection="1">
      <alignment horizontal="center" vertical="center" wrapText="1"/>
      <protection locked="0"/>
    </xf>
    <xf numFmtId="2" fontId="7" fillId="2" borderId="5" xfId="58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58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>
      <alignment horizontal="center" vertical="center"/>
    </xf>
    <xf numFmtId="179" fontId="8" fillId="2" borderId="5" xfId="58" applyNumberFormat="1" applyFont="1" applyFill="1" applyBorder="1" applyAlignment="1" applyProtection="1">
      <alignment horizontal="center" vertical="center"/>
      <protection locked="0"/>
    </xf>
    <xf numFmtId="0" fontId="17" fillId="2" borderId="6" xfId="58" applyFont="1" applyFill="1" applyBorder="1" applyAlignment="1" applyProtection="1">
      <alignment horizontal="center" vertical="center" wrapText="1" shrinkToFit="1"/>
      <protection locked="0"/>
    </xf>
    <xf numFmtId="0" fontId="11" fillId="2" borderId="5" xfId="58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center" vertical="center"/>
    </xf>
    <xf numFmtId="176" fontId="7" fillId="0" borderId="5" xfId="58" applyNumberFormat="1" applyFont="1" applyFill="1" applyBorder="1" applyAlignment="1" applyProtection="1">
      <alignment horizontal="center" vertical="center"/>
      <protection locked="0"/>
    </xf>
    <xf numFmtId="49" fontId="17" fillId="0" borderId="4" xfId="58" applyNumberFormat="1" applyFont="1" applyFill="1" applyBorder="1" applyAlignment="1" applyProtection="1">
      <alignment horizontal="center" vertical="center"/>
      <protection locked="0"/>
    </xf>
    <xf numFmtId="1" fontId="8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1" fillId="0" borderId="5" xfId="63" applyFont="1" applyFill="1" applyBorder="1" applyAlignment="1" applyProtection="1">
      <alignment horizontal="center" vertical="center" wrapText="1" shrinkToFit="1"/>
      <protection locked="0"/>
    </xf>
    <xf numFmtId="176" fontId="7" fillId="0" borderId="5" xfId="63" applyNumberFormat="1" applyFont="1" applyFill="1" applyBorder="1" applyAlignment="1" applyProtection="1">
      <alignment horizontal="center" vertical="center" wrapText="1" shrinkToFit="1"/>
    </xf>
    <xf numFmtId="0" fontId="17" fillId="0" borderId="5" xfId="63" applyFont="1" applyFill="1" applyBorder="1" applyAlignment="1" applyProtection="1">
      <alignment horizontal="left" vertical="center" wrapText="1" shrinkToFit="1"/>
      <protection locked="0"/>
    </xf>
    <xf numFmtId="176" fontId="8" fillId="0" borderId="5" xfId="63" applyNumberFormat="1" applyFont="1" applyFill="1" applyBorder="1" applyAlignment="1" applyProtection="1">
      <alignment horizontal="center" vertical="center" shrinkToFit="1"/>
      <protection locked="0"/>
    </xf>
    <xf numFmtId="176" fontId="8" fillId="0" borderId="5" xfId="63" applyNumberFormat="1" applyFont="1" applyFill="1" applyBorder="1" applyAlignment="1" applyProtection="1">
      <alignment horizontal="center" vertical="center" wrapText="1" shrinkToFit="1"/>
    </xf>
    <xf numFmtId="0" fontId="8" fillId="0" borderId="5" xfId="63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79" fontId="7" fillId="0" borderId="5" xfId="63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21" applyFont="1" applyFill="1" applyBorder="1" applyAlignment="1" applyProtection="1">
      <alignment horizontal="center" vertical="center" wrapText="1" shrinkToFit="1"/>
      <protection locked="0"/>
    </xf>
    <xf numFmtId="176" fontId="17" fillId="0" borderId="5" xfId="13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21" applyFont="1" applyFill="1" applyBorder="1" applyAlignment="1" applyProtection="1">
      <alignment horizontal="center" vertical="center" wrapText="1" shrinkToFit="1"/>
      <protection locked="0"/>
    </xf>
    <xf numFmtId="176" fontId="8" fillId="0" borderId="5" xfId="13" applyNumberFormat="1" applyFont="1" applyFill="1" applyBorder="1" applyAlignment="1" applyProtection="1">
      <alignment horizontal="center" vertical="center" shrinkToFit="1"/>
      <protection locked="0"/>
    </xf>
    <xf numFmtId="2" fontId="17" fillId="0" borderId="5" xfId="56" applyNumberFormat="1" applyFont="1" applyFill="1" applyBorder="1" applyAlignment="1" applyProtection="1">
      <alignment horizontal="center" vertical="center"/>
      <protection locked="0"/>
    </xf>
    <xf numFmtId="2" fontId="8" fillId="0" borderId="5" xfId="56" applyNumberFormat="1" applyFont="1" applyFill="1" applyBorder="1" applyAlignment="1" applyProtection="1">
      <alignment horizontal="center" vertical="center"/>
      <protection locked="0"/>
    </xf>
    <xf numFmtId="2" fontId="8" fillId="0" borderId="6" xfId="56" applyNumberFormat="1" applyFont="1" applyFill="1" applyBorder="1" applyAlignment="1" applyProtection="1">
      <alignment horizontal="center" vertical="center"/>
      <protection locked="0"/>
    </xf>
    <xf numFmtId="176" fontId="17" fillId="0" borderId="5" xfId="56" applyNumberFormat="1" applyFont="1" applyFill="1" applyBorder="1" applyAlignment="1" applyProtection="1">
      <alignment horizontal="center" vertical="center"/>
      <protection locked="0"/>
    </xf>
    <xf numFmtId="176" fontId="8" fillId="0" borderId="5" xfId="56" applyNumberFormat="1" applyFont="1" applyFill="1" applyBorder="1" applyAlignment="1" applyProtection="1">
      <alignment horizontal="center" vertical="center"/>
      <protection locked="0"/>
    </xf>
    <xf numFmtId="176" fontId="8" fillId="0" borderId="6" xfId="56" applyNumberFormat="1" applyFont="1" applyFill="1" applyBorder="1" applyAlignment="1" applyProtection="1">
      <alignment horizontal="center" vertical="center"/>
      <protection locked="0"/>
    </xf>
    <xf numFmtId="49" fontId="11" fillId="0" borderId="4" xfId="13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13" applyFont="1" applyFill="1" applyBorder="1" applyAlignment="1" applyProtection="1">
      <alignment horizontal="left" vertical="center" wrapText="1" shrinkToFit="1"/>
      <protection locked="0"/>
    </xf>
    <xf numFmtId="176" fontId="7" fillId="0" borderId="5" xfId="13" applyNumberFormat="1" applyFont="1" applyFill="1" applyBorder="1" applyAlignment="1" applyProtection="1">
      <alignment horizontal="center" vertical="center" shrinkToFit="1"/>
      <protection locked="0"/>
    </xf>
    <xf numFmtId="176" fontId="7" fillId="0" borderId="5" xfId="13" applyNumberFormat="1" applyFont="1" applyFill="1" applyBorder="1" applyAlignment="1" applyProtection="1">
      <alignment horizontal="center" vertical="center" shrinkToFit="1"/>
    </xf>
    <xf numFmtId="49" fontId="11" fillId="0" borderId="4" xfId="48" applyNumberFormat="1" applyFont="1" applyFill="1" applyBorder="1" applyAlignment="1" applyProtection="1">
      <alignment horizontal="center" vertical="center"/>
      <protection locked="0"/>
    </xf>
    <xf numFmtId="0" fontId="11" fillId="0" borderId="5" xfId="48" applyNumberFormat="1" applyFont="1" applyFill="1" applyBorder="1" applyAlignment="1" applyProtection="1">
      <alignment horizontal="left" vertical="center"/>
      <protection locked="0"/>
    </xf>
    <xf numFmtId="182" fontId="7" fillId="0" borderId="5" xfId="48" applyNumberFormat="1" applyFont="1" applyFill="1" applyBorder="1" applyAlignment="1" applyProtection="1">
      <alignment horizontal="center" vertical="center"/>
      <protection locked="0"/>
    </xf>
    <xf numFmtId="49" fontId="11" fillId="0" borderId="7" xfId="13" applyNumberFormat="1" applyFont="1" applyFill="1" applyBorder="1" applyAlignment="1" applyProtection="1">
      <alignment horizontal="center" vertical="center" shrinkToFit="1"/>
      <protection locked="0"/>
    </xf>
    <xf numFmtId="0" fontId="11" fillId="0" borderId="8" xfId="13" applyFont="1" applyFill="1" applyBorder="1" applyAlignment="1" applyProtection="1">
      <alignment horizontal="left" vertical="center" wrapText="1" shrinkToFit="1"/>
      <protection locked="0"/>
    </xf>
    <xf numFmtId="176" fontId="7" fillId="0" borderId="8" xfId="13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2" fontId="8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right" vertical="center"/>
    </xf>
    <xf numFmtId="2" fontId="17" fillId="0" borderId="5" xfId="56" applyNumberFormat="1" applyFont="1" applyFill="1" applyBorder="1" applyAlignment="1" applyProtection="1">
      <alignment horizontal="center" vertical="center" wrapText="1"/>
      <protection locked="0"/>
    </xf>
    <xf numFmtId="2" fontId="17" fillId="0" borderId="6" xfId="56" applyNumberFormat="1" applyFont="1" applyFill="1" applyBorder="1" applyAlignment="1" applyProtection="1">
      <alignment horizontal="center" vertical="center" wrapText="1"/>
      <protection locked="0"/>
    </xf>
    <xf numFmtId="2" fontId="17" fillId="0" borderId="12" xfId="56" applyNumberFormat="1" applyFont="1" applyFill="1" applyBorder="1" applyAlignment="1" applyProtection="1">
      <alignment horizontal="center" vertical="center"/>
      <protection locked="0"/>
    </xf>
    <xf numFmtId="2" fontId="17" fillId="0" borderId="13" xfId="56" applyNumberFormat="1" applyFont="1" applyFill="1" applyBorder="1" applyAlignment="1" applyProtection="1">
      <alignment horizontal="center" vertical="center"/>
      <protection locked="0"/>
    </xf>
    <xf numFmtId="2" fontId="17" fillId="0" borderId="14" xfId="56" applyNumberFormat="1" applyFont="1" applyFill="1" applyBorder="1" applyAlignment="1" applyProtection="1">
      <alignment horizontal="center" vertical="center"/>
      <protection locked="0"/>
    </xf>
    <xf numFmtId="176" fontId="7" fillId="0" borderId="9" xfId="13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8" fontId="13" fillId="3" borderId="11" xfId="0" applyNumberFormat="1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178" fontId="8" fillId="3" borderId="11" xfId="0" applyNumberFormat="1" applyFont="1" applyFill="1" applyBorder="1" applyAlignment="1">
      <alignment horizontal="center" vertical="center"/>
    </xf>
    <xf numFmtId="0" fontId="8" fillId="0" borderId="5" xfId="58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>
      <alignment horizontal="center" vertical="center" wrapText="1"/>
    </xf>
    <xf numFmtId="181" fontId="7" fillId="0" borderId="5" xfId="63" applyNumberFormat="1" applyFont="1" applyFill="1" applyBorder="1" applyAlignment="1" applyProtection="1">
      <alignment horizontal="center" vertical="center" wrapText="1" shrinkToFit="1"/>
      <protection locked="0"/>
    </xf>
    <xf numFmtId="181" fontId="7" fillId="0" borderId="5" xfId="58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58" applyFont="1" applyFill="1" applyBorder="1" applyAlignment="1" applyProtection="1">
      <alignment horizontal="center" vertical="center" wrapText="1" shrinkToFit="1"/>
      <protection locked="0"/>
    </xf>
    <xf numFmtId="176" fontId="8" fillId="2" borderId="0" xfId="0" applyNumberFormat="1" applyFont="1" applyFill="1" applyAlignment="1">
      <alignment horizontal="center" vertical="center"/>
    </xf>
    <xf numFmtId="181" fontId="13" fillId="0" borderId="5" xfId="58" applyNumberFormat="1" applyFont="1" applyFill="1" applyBorder="1" applyAlignment="1" applyProtection="1">
      <alignment horizontal="center" vertical="center"/>
      <protection locked="0"/>
    </xf>
    <xf numFmtId="181" fontId="13" fillId="2" borderId="5" xfId="0" applyNumberFormat="1" applyFont="1" applyFill="1" applyBorder="1" applyAlignment="1">
      <alignment horizontal="center" vertical="center"/>
    </xf>
    <xf numFmtId="181" fontId="8" fillId="0" borderId="5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80" fontId="13" fillId="3" borderId="11" xfId="0" applyNumberFormat="1" applyFont="1" applyFill="1" applyBorder="1" applyAlignment="1">
      <alignment horizontal="center" vertical="center"/>
    </xf>
    <xf numFmtId="0" fontId="13" fillId="0" borderId="6" xfId="58" applyFont="1" applyFill="1" applyBorder="1" applyAlignment="1" applyProtection="1">
      <alignment horizontal="center" vertical="center" wrapText="1" shrinkToFit="1"/>
      <protection locked="0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/>
    </xf>
    <xf numFmtId="180" fontId="8" fillId="3" borderId="11" xfId="0" applyNumberFormat="1" applyFont="1" applyFill="1" applyBorder="1" applyAlignment="1">
      <alignment horizontal="center" vertical="center"/>
    </xf>
    <xf numFmtId="181" fontId="8" fillId="0" borderId="5" xfId="58" applyNumberFormat="1" applyFont="1" applyFill="1" applyBorder="1" applyAlignment="1" applyProtection="1">
      <alignment horizontal="center" vertical="center"/>
      <protection locked="0"/>
    </xf>
    <xf numFmtId="176" fontId="7" fillId="2" borderId="5" xfId="58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7" fillId="4" borderId="4" xfId="58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/>
    </xf>
    <xf numFmtId="176" fontId="8" fillId="4" borderId="5" xfId="58" applyNumberFormat="1" applyFont="1" applyFill="1" applyBorder="1" applyAlignment="1" applyProtection="1">
      <alignment horizontal="center" vertical="center"/>
      <protection locked="0"/>
    </xf>
    <xf numFmtId="176" fontId="8" fillId="4" borderId="5" xfId="58" applyNumberFormat="1" applyFont="1" applyFill="1" applyBorder="1" applyAlignment="1" applyProtection="1">
      <alignment horizontal="center" vertical="center"/>
    </xf>
    <xf numFmtId="49" fontId="21" fillId="2" borderId="4" xfId="58" applyNumberFormat="1" applyFont="1" applyFill="1" applyBorder="1" applyAlignment="1" applyProtection="1">
      <alignment horizontal="center" vertical="center"/>
      <protection locked="0"/>
    </xf>
    <xf numFmtId="0" fontId="21" fillId="2" borderId="5" xfId="58" applyFont="1" applyFill="1" applyBorder="1" applyAlignment="1" applyProtection="1">
      <alignment horizontal="left" vertical="center" wrapText="1"/>
      <protection locked="0"/>
    </xf>
    <xf numFmtId="176" fontId="22" fillId="2" borderId="5" xfId="58" applyNumberFormat="1" applyFont="1" applyFill="1" applyBorder="1" applyAlignment="1" applyProtection="1">
      <alignment horizontal="center" vertical="center" wrapText="1"/>
      <protection locked="0"/>
    </xf>
    <xf numFmtId="49" fontId="22" fillId="2" borderId="4" xfId="58" applyNumberFormat="1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>
      <alignment horizontal="left" vertical="center"/>
    </xf>
    <xf numFmtId="176" fontId="19" fillId="2" borderId="5" xfId="58" applyNumberFormat="1" applyFont="1" applyFill="1" applyBorder="1" applyAlignment="1" applyProtection="1">
      <alignment horizontal="center" vertical="center"/>
      <protection locked="0"/>
    </xf>
    <xf numFmtId="176" fontId="19" fillId="2" borderId="5" xfId="58" applyNumberFormat="1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58" applyFont="1" applyFill="1" applyBorder="1" applyAlignment="1" applyProtection="1">
      <alignment horizontal="left" vertical="center" wrapText="1"/>
      <protection locked="0"/>
    </xf>
    <xf numFmtId="1" fontId="5" fillId="0" borderId="5" xfId="0" applyNumberFormat="1" applyFont="1" applyFill="1" applyBorder="1" applyAlignment="1">
      <alignment horizontal="center" vertical="center"/>
    </xf>
    <xf numFmtId="181" fontId="8" fillId="4" borderId="5" xfId="0" applyNumberFormat="1" applyFont="1" applyFill="1" applyBorder="1" applyAlignment="1">
      <alignment horizontal="center" vertical="center"/>
    </xf>
    <xf numFmtId="0" fontId="8" fillId="4" borderId="6" xfId="58" applyFont="1" applyFill="1" applyBorder="1" applyAlignment="1" applyProtection="1">
      <alignment horizontal="center" vertical="center" wrapText="1" shrinkToFit="1"/>
      <protection locked="0"/>
    </xf>
    <xf numFmtId="176" fontId="22" fillId="2" borderId="5" xfId="58" applyNumberFormat="1" applyFont="1" applyFill="1" applyBorder="1" applyAlignment="1" applyProtection="1">
      <alignment horizontal="center" vertical="center"/>
      <protection locked="0"/>
    </xf>
    <xf numFmtId="181" fontId="22" fillId="2" borderId="5" xfId="58" applyNumberFormat="1" applyFont="1" applyFill="1" applyBorder="1" applyAlignment="1" applyProtection="1">
      <alignment horizontal="center" vertical="center" wrapText="1"/>
      <protection locked="0"/>
    </xf>
    <xf numFmtId="0" fontId="22" fillId="2" borderId="6" xfId="58" applyFont="1" applyFill="1" applyBorder="1" applyAlignment="1" applyProtection="1">
      <alignment horizontal="center" vertical="center" wrapText="1" shrinkToFit="1"/>
      <protection locked="0"/>
    </xf>
    <xf numFmtId="0" fontId="19" fillId="2" borderId="5" xfId="0" applyFont="1" applyFill="1" applyBorder="1" applyAlignment="1">
      <alignment horizontal="center" vertical="center"/>
    </xf>
    <xf numFmtId="181" fontId="19" fillId="2" borderId="5" xfId="58" applyNumberFormat="1" applyFont="1" applyFill="1" applyBorder="1" applyAlignment="1" applyProtection="1">
      <alignment horizontal="center" vertical="center"/>
      <protection locked="0"/>
    </xf>
    <xf numFmtId="0" fontId="19" fillId="2" borderId="6" xfId="58" applyFont="1" applyFill="1" applyBorder="1" applyAlignment="1" applyProtection="1">
      <alignment horizontal="center" vertical="center" wrapText="1" shrinkToFit="1"/>
      <protection locked="0"/>
    </xf>
    <xf numFmtId="181" fontId="19" fillId="2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76" fontId="19" fillId="2" borderId="5" xfId="0" applyNumberFormat="1" applyFont="1" applyFill="1" applyBorder="1" applyAlignment="1">
      <alignment horizontal="center" vertical="center"/>
    </xf>
    <xf numFmtId="0" fontId="22" fillId="2" borderId="5" xfId="58" applyFont="1" applyFill="1" applyBorder="1" applyAlignment="1" applyProtection="1">
      <alignment horizontal="left" vertical="center" wrapText="1"/>
      <protection locked="0"/>
    </xf>
    <xf numFmtId="0" fontId="22" fillId="2" borderId="5" xfId="0" applyFont="1" applyFill="1" applyBorder="1" applyAlignment="1">
      <alignment horizontal="left" vertical="center"/>
    </xf>
    <xf numFmtId="0" fontId="19" fillId="2" borderId="5" xfId="58" applyFont="1" applyFill="1" applyBorder="1" applyAlignment="1" applyProtection="1">
      <alignment horizontal="left" vertical="center" wrapText="1" shrinkToFit="1"/>
      <protection locked="0"/>
    </xf>
    <xf numFmtId="0" fontId="23" fillId="2" borderId="6" xfId="58" applyFont="1" applyFill="1" applyBorder="1" applyAlignment="1" applyProtection="1">
      <alignment horizontal="center" vertical="center" wrapText="1" shrinkToFit="1"/>
      <protection locked="0"/>
    </xf>
    <xf numFmtId="0" fontId="22" fillId="2" borderId="5" xfId="58" applyFont="1" applyFill="1" applyBorder="1" applyAlignment="1" applyProtection="1">
      <alignment horizontal="center" vertical="center" wrapText="1"/>
      <protection locked="0"/>
    </xf>
    <xf numFmtId="2" fontId="22" fillId="2" borderId="5" xfId="58" applyNumberFormat="1" applyFont="1" applyFill="1" applyBorder="1" applyAlignment="1" applyProtection="1">
      <alignment horizontal="center" vertical="center" wrapText="1"/>
      <protection locked="0"/>
    </xf>
    <xf numFmtId="179" fontId="19" fillId="2" borderId="5" xfId="58" applyNumberFormat="1" applyFont="1" applyFill="1" applyBorder="1" applyAlignment="1" applyProtection="1">
      <alignment horizontal="center" vertical="center"/>
      <protection locked="0"/>
    </xf>
    <xf numFmtId="1" fontId="19" fillId="2" borderId="5" xfId="0" applyNumberFormat="1" applyFont="1" applyFill="1" applyBorder="1" applyAlignment="1">
      <alignment horizontal="center" vertical="center"/>
    </xf>
    <xf numFmtId="176" fontId="8" fillId="0" borderId="16" xfId="58" applyNumberFormat="1" applyFont="1" applyFill="1" applyBorder="1" applyAlignment="1" applyProtection="1">
      <alignment horizontal="center" vertical="center"/>
      <protection locked="0"/>
    </xf>
    <xf numFmtId="176" fontId="8" fillId="0" borderId="16" xfId="58" applyNumberFormat="1" applyFont="1" applyFill="1" applyBorder="1" applyAlignment="1" applyProtection="1">
      <alignment horizontal="center" vertical="center"/>
    </xf>
    <xf numFmtId="176" fontId="8" fillId="0" borderId="17" xfId="58" applyNumberFormat="1" applyFont="1" applyFill="1" applyBorder="1" applyAlignment="1" applyProtection="1">
      <alignment horizontal="center" vertical="center"/>
      <protection locked="0"/>
    </xf>
    <xf numFmtId="176" fontId="8" fillId="0" borderId="17" xfId="58" applyNumberFormat="1" applyFont="1" applyFill="1" applyBorder="1" applyAlignment="1" applyProtection="1">
      <alignment horizontal="center" vertical="center"/>
    </xf>
    <xf numFmtId="49" fontId="11" fillId="5" borderId="4" xfId="58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>
      <alignment horizontal="left" vertical="center"/>
    </xf>
    <xf numFmtId="176" fontId="7" fillId="5" borderId="5" xfId="58" applyNumberFormat="1" applyFont="1" applyFill="1" applyBorder="1" applyAlignment="1" applyProtection="1">
      <alignment horizontal="center" vertical="center"/>
      <protection locked="0"/>
    </xf>
    <xf numFmtId="176" fontId="7" fillId="5" borderId="5" xfId="58" applyNumberFormat="1" applyFont="1" applyFill="1" applyBorder="1" applyAlignment="1" applyProtection="1">
      <alignment horizontal="center" vertical="center"/>
    </xf>
    <xf numFmtId="49" fontId="17" fillId="5" borderId="4" xfId="58" applyNumberFormat="1" applyFont="1" applyFill="1" applyBorder="1" applyAlignment="1" applyProtection="1">
      <alignment horizontal="center" vertical="center"/>
      <protection locked="0"/>
    </xf>
    <xf numFmtId="0" fontId="17" fillId="5" borderId="5" xfId="0" applyFont="1" applyFill="1" applyBorder="1" applyAlignment="1">
      <alignment horizontal="left" vertical="center"/>
    </xf>
    <xf numFmtId="176" fontId="8" fillId="5" borderId="5" xfId="58" applyNumberFormat="1" applyFont="1" applyFill="1" applyBorder="1" applyAlignment="1" applyProtection="1">
      <alignment horizontal="center" vertical="center"/>
      <protection locked="0"/>
    </xf>
    <xf numFmtId="176" fontId="8" fillId="5" borderId="5" xfId="58" applyNumberFormat="1" applyFont="1" applyFill="1" applyBorder="1" applyAlignment="1" applyProtection="1">
      <alignment horizontal="center" vertical="center"/>
    </xf>
    <xf numFmtId="0" fontId="24" fillId="0" borderId="6" xfId="58" applyFont="1" applyFill="1" applyBorder="1" applyAlignment="1" applyProtection="1">
      <alignment horizontal="center" vertical="center" wrapText="1" shrinkToFit="1"/>
      <protection locked="0"/>
    </xf>
    <xf numFmtId="0" fontId="7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0" fontId="25" fillId="5" borderId="6" xfId="58" applyFont="1" applyFill="1" applyBorder="1" applyAlignment="1" applyProtection="1">
      <alignment horizontal="center" vertical="center" wrapText="1" shrinkToFit="1"/>
      <protection locked="0"/>
    </xf>
    <xf numFmtId="0" fontId="7" fillId="5" borderId="1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0" fontId="24" fillId="5" borderId="6" xfId="58" applyFont="1" applyFill="1" applyBorder="1" applyAlignment="1" applyProtection="1">
      <alignment horizontal="center" vertical="center" wrapText="1" shrinkToFit="1"/>
      <protection locked="0"/>
    </xf>
    <xf numFmtId="181" fontId="8" fillId="5" borderId="5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2" fontId="8" fillId="5" borderId="5" xfId="0" applyNumberFormat="1" applyFont="1" applyFill="1" applyBorder="1" applyAlignment="1">
      <alignment horizontal="center" vertical="center"/>
    </xf>
    <xf numFmtId="49" fontId="15" fillId="5" borderId="4" xfId="58" applyNumberFormat="1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>
      <alignment horizontal="left" vertical="center"/>
    </xf>
    <xf numFmtId="176" fontId="13" fillId="5" borderId="5" xfId="58" applyNumberFormat="1" applyFont="1" applyFill="1" applyBorder="1" applyAlignment="1" applyProtection="1">
      <alignment horizontal="center" vertical="center"/>
      <protection locked="0"/>
    </xf>
    <xf numFmtId="176" fontId="13" fillId="5" borderId="5" xfId="58" applyNumberFormat="1" applyFont="1" applyFill="1" applyBorder="1" applyAlignment="1" applyProtection="1">
      <alignment horizontal="center" vertical="center"/>
    </xf>
    <xf numFmtId="49" fontId="26" fillId="5" borderId="4" xfId="58" applyNumberFormat="1" applyFont="1" applyFill="1" applyBorder="1" applyAlignment="1" applyProtection="1">
      <alignment horizontal="center" vertical="center"/>
      <protection locked="0"/>
    </xf>
    <xf numFmtId="0" fontId="26" fillId="5" borderId="5" xfId="0" applyFont="1" applyFill="1" applyBorder="1" applyAlignment="1">
      <alignment horizontal="left" vertical="center"/>
    </xf>
    <xf numFmtId="176" fontId="20" fillId="5" borderId="5" xfId="58" applyNumberFormat="1" applyFont="1" applyFill="1" applyBorder="1" applyAlignment="1" applyProtection="1">
      <alignment horizontal="center" vertical="center"/>
      <protection locked="0"/>
    </xf>
    <xf numFmtId="176" fontId="20" fillId="5" borderId="5" xfId="58" applyNumberFormat="1" applyFont="1" applyFill="1" applyBorder="1" applyAlignment="1" applyProtection="1">
      <alignment horizontal="center" vertical="center"/>
    </xf>
    <xf numFmtId="49" fontId="27" fillId="2" borderId="4" xfId="58" applyNumberFormat="1" applyFont="1" applyFill="1" applyBorder="1" applyAlignment="1" applyProtection="1">
      <alignment horizontal="center" vertical="center"/>
      <protection locked="0"/>
    </xf>
    <xf numFmtId="0" fontId="27" fillId="2" borderId="5" xfId="61" applyFont="1" applyFill="1" applyBorder="1" applyAlignment="1">
      <alignment horizontal="left" vertical="center" wrapText="1"/>
    </xf>
    <xf numFmtId="176" fontId="20" fillId="2" borderId="5" xfId="58" applyNumberFormat="1" applyFont="1" applyFill="1" applyBorder="1" applyAlignment="1" applyProtection="1">
      <alignment horizontal="center" vertical="center"/>
      <protection locked="0"/>
    </xf>
    <xf numFmtId="176" fontId="28" fillId="2" borderId="5" xfId="61" applyNumberFormat="1" applyFont="1" applyFill="1" applyBorder="1" applyAlignment="1">
      <alignment horizontal="center" vertical="center" wrapText="1"/>
    </xf>
    <xf numFmtId="176" fontId="20" fillId="2" borderId="5" xfId="58" applyNumberFormat="1" applyFont="1" applyFill="1" applyBorder="1" applyAlignment="1" applyProtection="1">
      <alignment horizontal="center" vertical="center"/>
    </xf>
    <xf numFmtId="49" fontId="28" fillId="2" borderId="4" xfId="58" applyNumberFormat="1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>
      <alignment horizontal="left" vertical="center"/>
    </xf>
    <xf numFmtId="1" fontId="13" fillId="5" borderId="5" xfId="0" applyNumberFormat="1" applyFont="1" applyFill="1" applyBorder="1" applyAlignment="1">
      <alignment horizontal="center" vertical="center"/>
    </xf>
    <xf numFmtId="181" fontId="7" fillId="5" borderId="5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9" fillId="5" borderId="6" xfId="58" applyFont="1" applyFill="1" applyBorder="1" applyAlignment="1" applyProtection="1">
      <alignment horizontal="center" vertical="center" wrapText="1" shrinkToFit="1"/>
      <protection locked="0"/>
    </xf>
    <xf numFmtId="0" fontId="15" fillId="5" borderId="0" xfId="0" applyFont="1" applyFill="1" applyAlignment="1">
      <alignment horizontal="center" vertical="center"/>
    </xf>
    <xf numFmtId="181" fontId="13" fillId="5" borderId="5" xfId="0" applyNumberFormat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1" fontId="20" fillId="5" borderId="5" xfId="0" applyNumberFormat="1" applyFont="1" applyFill="1" applyBorder="1" applyAlignment="1">
      <alignment horizontal="center" vertical="center"/>
    </xf>
    <xf numFmtId="0" fontId="30" fillId="5" borderId="6" xfId="58" applyFont="1" applyFill="1" applyBorder="1" applyAlignment="1" applyProtection="1">
      <alignment horizontal="center" vertical="center" wrapText="1" shrinkToFit="1"/>
      <protection locked="0"/>
    </xf>
    <xf numFmtId="0" fontId="28" fillId="2" borderId="5" xfId="61" applyFont="1" applyFill="1" applyBorder="1" applyAlignment="1">
      <alignment horizontal="center" vertical="center" wrapText="1"/>
    </xf>
    <xf numFmtId="0" fontId="20" fillId="2" borderId="6" xfId="58" applyFont="1" applyFill="1" applyBorder="1" applyAlignment="1" applyProtection="1">
      <alignment horizontal="center" vertical="center" wrapText="1" shrinkToFit="1"/>
      <protection locked="0"/>
    </xf>
    <xf numFmtId="0" fontId="20" fillId="2" borderId="5" xfId="0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6" fillId="2" borderId="6" xfId="58" applyFont="1" applyFill="1" applyBorder="1" applyAlignment="1" applyProtection="1">
      <alignment horizontal="center" vertical="center" wrapText="1" shrinkToFit="1"/>
      <protection locked="0"/>
    </xf>
    <xf numFmtId="0" fontId="26" fillId="2" borderId="5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176" fontId="28" fillId="2" borderId="5" xfId="58" applyNumberFormat="1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49" fontId="8" fillId="0" borderId="4" xfId="63" applyNumberFormat="1" applyFont="1" applyFill="1" applyBorder="1" applyAlignment="1" applyProtection="1">
      <alignment horizontal="center" vertical="center" shrinkToFit="1"/>
      <protection locked="0"/>
    </xf>
    <xf numFmtId="0" fontId="26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" fontId="31" fillId="2" borderId="5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76" fontId="8" fillId="0" borderId="5" xfId="13" applyNumberFormat="1" applyFont="1" applyFill="1" applyBorder="1" applyAlignment="1" applyProtection="1">
      <alignment horizontal="center" vertical="center" shrinkToFit="1"/>
    </xf>
    <xf numFmtId="0" fontId="9" fillId="0" borderId="0" xfId="58" applyFont="1" applyFill="1">
      <alignment vertical="center"/>
    </xf>
    <xf numFmtId="0" fontId="32" fillId="0" borderId="0" xfId="58" applyFont="1" applyFill="1" applyAlignment="1">
      <alignment horizontal="center" vertical="center"/>
    </xf>
    <xf numFmtId="0" fontId="8" fillId="0" borderId="0" xfId="58" applyFont="1" applyFill="1">
      <alignment vertical="center"/>
    </xf>
    <xf numFmtId="176" fontId="8" fillId="0" borderId="0" xfId="58" applyNumberFormat="1" applyFont="1" applyFill="1">
      <alignment vertical="center"/>
    </xf>
    <xf numFmtId="0" fontId="8" fillId="0" borderId="0" xfId="58" applyFont="1" applyFill="1" applyAlignment="1">
      <alignment vertical="center" wrapText="1"/>
    </xf>
    <xf numFmtId="0" fontId="32" fillId="0" borderId="0" xfId="58" applyFont="1" applyFill="1">
      <alignment vertical="center"/>
    </xf>
    <xf numFmtId="0" fontId="11" fillId="0" borderId="0" xfId="58" applyFont="1" applyFill="1" applyAlignment="1">
      <alignment horizontal="center" vertical="center"/>
    </xf>
    <xf numFmtId="0" fontId="7" fillId="0" borderId="0" xfId="58" applyFont="1" applyFill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1" fillId="0" borderId="2" xfId="58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/>
    </xf>
    <xf numFmtId="0" fontId="17" fillId="0" borderId="4" xfId="58" applyFont="1" applyFill="1" applyBorder="1" applyAlignment="1">
      <alignment horizontal="center" vertical="center"/>
    </xf>
    <xf numFmtId="0" fontId="17" fillId="0" borderId="5" xfId="58" applyFont="1" applyFill="1" applyBorder="1" applyAlignment="1">
      <alignment horizontal="center" vertical="center"/>
    </xf>
    <xf numFmtId="176" fontId="8" fillId="0" borderId="6" xfId="58" applyNumberFormat="1" applyFont="1" applyFill="1" applyBorder="1" applyAlignment="1">
      <alignment horizontal="center" vertical="center"/>
    </xf>
    <xf numFmtId="0" fontId="17" fillId="0" borderId="7" xfId="58" applyFont="1" applyFill="1" applyBorder="1" applyAlignment="1">
      <alignment horizontal="center" vertical="center"/>
    </xf>
    <xf numFmtId="0" fontId="17" fillId="0" borderId="8" xfId="58" applyFont="1" applyFill="1" applyBorder="1" applyAlignment="1">
      <alignment horizontal="center" vertical="center"/>
    </xf>
    <xf numFmtId="2" fontId="8" fillId="0" borderId="9" xfId="58" applyNumberFormat="1" applyFont="1" applyFill="1" applyBorder="1" applyAlignment="1">
      <alignment horizontal="center" vertical="center"/>
    </xf>
    <xf numFmtId="0" fontId="11" fillId="0" borderId="0" xfId="58" applyFont="1" applyFill="1" applyBorder="1" applyAlignment="1">
      <alignment horizontal="center" vertical="center" wrapText="1"/>
    </xf>
    <xf numFmtId="0" fontId="7" fillId="0" borderId="0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11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176" fontId="7" fillId="0" borderId="2" xfId="58" applyNumberFormat="1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8" fillId="0" borderId="4" xfId="58" applyFont="1" applyFill="1" applyBorder="1" applyAlignment="1">
      <alignment horizontal="center" vertical="center" wrapText="1"/>
    </xf>
    <xf numFmtId="0" fontId="8" fillId="0" borderId="5" xfId="58" applyFont="1" applyFill="1" applyBorder="1" applyAlignment="1">
      <alignment horizontal="center" vertical="center" wrapText="1"/>
    </xf>
    <xf numFmtId="0" fontId="8" fillId="0" borderId="6" xfId="58" applyFont="1" applyFill="1" applyBorder="1" applyAlignment="1">
      <alignment horizontal="center" vertical="center" wrapText="1"/>
    </xf>
    <xf numFmtId="176" fontId="8" fillId="0" borderId="5" xfId="58" applyNumberFormat="1" applyFont="1" applyFill="1" applyBorder="1" applyAlignment="1">
      <alignment horizontal="center" vertical="center" wrapText="1"/>
    </xf>
    <xf numFmtId="0" fontId="17" fillId="0" borderId="5" xfId="58" applyFont="1" applyFill="1" applyBorder="1" applyAlignment="1">
      <alignment horizontal="center" vertical="center" wrapText="1"/>
    </xf>
    <xf numFmtId="0" fontId="17" fillId="0" borderId="6" xfId="58" applyFont="1" applyFill="1" applyBorder="1" applyAlignment="1">
      <alignment horizontal="center" vertical="center" wrapText="1"/>
    </xf>
    <xf numFmtId="0" fontId="8" fillId="0" borderId="5" xfId="58" applyFont="1" applyFill="1" applyBorder="1" applyAlignment="1">
      <alignment vertical="center" wrapText="1"/>
    </xf>
    <xf numFmtId="0" fontId="8" fillId="0" borderId="7" xfId="58" applyFont="1" applyFill="1" applyBorder="1" applyAlignment="1">
      <alignment horizontal="center" vertical="center" wrapText="1"/>
    </xf>
    <xf numFmtId="0" fontId="8" fillId="0" borderId="8" xfId="58" applyFont="1" applyFill="1" applyBorder="1" applyAlignment="1">
      <alignment horizontal="center" vertical="center" wrapText="1"/>
    </xf>
    <xf numFmtId="176" fontId="8" fillId="0" borderId="8" xfId="58" applyNumberFormat="1" applyFont="1" applyFill="1" applyBorder="1" applyAlignment="1">
      <alignment horizontal="center" vertical="center" wrapText="1"/>
    </xf>
    <xf numFmtId="0" fontId="8" fillId="0" borderId="9" xfId="58" applyFont="1" applyFill="1" applyBorder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176" fontId="8" fillId="0" borderId="0" xfId="58" applyNumberFormat="1" applyFont="1" applyFill="1" applyAlignment="1">
      <alignment horizontal="center" vertical="center" wrapText="1"/>
    </xf>
    <xf numFmtId="0" fontId="7" fillId="0" borderId="0" xfId="58" applyFont="1" applyFill="1" applyAlignment="1">
      <alignment horizontal="center" vertical="center" wrapText="1"/>
    </xf>
    <xf numFmtId="0" fontId="8" fillId="0" borderId="0" xfId="58" applyFont="1" applyFill="1" applyBorder="1" applyAlignment="1">
      <alignment horizontal="center" vertical="center" wrapText="1"/>
    </xf>
    <xf numFmtId="176" fontId="8" fillId="0" borderId="0" xfId="58" applyNumberFormat="1" applyFont="1" applyFill="1" applyBorder="1" applyAlignment="1">
      <alignment horizontal="center" vertical="center" wrapText="1"/>
    </xf>
    <xf numFmtId="2" fontId="8" fillId="0" borderId="5" xfId="58" applyNumberFormat="1" applyFont="1" applyFill="1" applyBorder="1" applyAlignment="1">
      <alignment horizontal="center" vertical="center" wrapText="1"/>
    </xf>
    <xf numFmtId="0" fontId="8" fillId="0" borderId="5" xfId="44" applyFont="1" applyFill="1" applyBorder="1" applyAlignment="1">
      <alignment horizontal="center" vertical="center"/>
    </xf>
    <xf numFmtId="0" fontId="8" fillId="0" borderId="5" xfId="58" applyFont="1" applyFill="1" applyBorder="1" applyAlignment="1">
      <alignment horizontal="center" vertical="center"/>
    </xf>
    <xf numFmtId="2" fontId="8" fillId="0" borderId="5" xfId="44" applyNumberFormat="1" applyFont="1" applyFill="1" applyBorder="1" applyAlignment="1">
      <alignment horizontal="center" vertical="center" wrapText="1"/>
    </xf>
    <xf numFmtId="0" fontId="8" fillId="0" borderId="6" xfId="44" applyFont="1" applyFill="1" applyBorder="1" applyAlignment="1">
      <alignment horizontal="center" vertical="center" wrapText="1"/>
    </xf>
    <xf numFmtId="2" fontId="8" fillId="0" borderId="5" xfId="58" applyNumberFormat="1" applyFont="1" applyFill="1" applyBorder="1" applyAlignment="1">
      <alignment horizontal="center" vertical="center"/>
    </xf>
    <xf numFmtId="0" fontId="8" fillId="0" borderId="6" xfId="58" applyFont="1" applyFill="1" applyBorder="1" applyAlignment="1">
      <alignment horizontal="center" vertical="center"/>
    </xf>
    <xf numFmtId="0" fontId="8" fillId="0" borderId="20" xfId="58" applyFont="1" applyFill="1" applyBorder="1" applyAlignment="1">
      <alignment horizontal="center" vertical="center" wrapText="1"/>
    </xf>
    <xf numFmtId="0" fontId="8" fillId="0" borderId="21" xfId="58" applyFont="1" applyFill="1" applyBorder="1" applyAlignment="1">
      <alignment horizontal="center" vertical="center" wrapText="1"/>
    </xf>
    <xf numFmtId="0" fontId="8" fillId="0" borderId="22" xfId="58" applyFont="1" applyFill="1" applyBorder="1" applyAlignment="1">
      <alignment horizontal="center" vertical="center" wrapText="1"/>
    </xf>
    <xf numFmtId="49" fontId="33" fillId="0" borderId="0" xfId="63" applyNumberFormat="1" applyFont="1" applyFill="1" applyBorder="1" applyAlignment="1" applyProtection="1">
      <alignment horizontal="center" vertical="center"/>
      <protection locked="0"/>
    </xf>
    <xf numFmtId="0" fontId="33" fillId="0" borderId="0" xfId="63" applyFont="1" applyFill="1" applyBorder="1" applyAlignment="1" applyProtection="1">
      <alignment horizontal="left" vertical="center" wrapText="1"/>
      <protection locked="0"/>
    </xf>
    <xf numFmtId="176" fontId="33" fillId="0" borderId="0" xfId="63" applyNumberFormat="1" applyFont="1" applyFill="1" applyBorder="1" applyAlignment="1" applyProtection="1">
      <alignment horizontal="center" vertical="center"/>
      <protection locked="0"/>
    </xf>
    <xf numFmtId="0" fontId="17" fillId="0" borderId="5" xfId="63" applyFont="1" applyFill="1" applyBorder="1" applyAlignment="1" applyProtection="1">
      <alignment horizontal="center" vertical="center" wrapText="1" shrinkToFit="1"/>
      <protection locked="0"/>
    </xf>
    <xf numFmtId="2" fontId="8" fillId="0" borderId="12" xfId="56" applyNumberFormat="1" applyFont="1" applyFill="1" applyBorder="1" applyAlignment="1" applyProtection="1">
      <alignment horizontal="center" vertical="center"/>
      <protection locked="0"/>
    </xf>
    <xf numFmtId="0" fontId="8" fillId="0" borderId="5" xfId="63" applyFont="1" applyFill="1" applyBorder="1" applyAlignment="1" applyProtection="1">
      <alignment horizontal="center" vertical="center" wrapText="1" shrinkToFit="1"/>
      <protection locked="0"/>
    </xf>
    <xf numFmtId="0" fontId="33" fillId="0" borderId="0" xfId="63" applyFont="1" applyFill="1" applyBorder="1" applyAlignment="1" applyProtection="1">
      <alignment horizontal="center" vertical="center" wrapText="1" shrinkToFit="1"/>
      <protection locked="0"/>
    </xf>
    <xf numFmtId="177" fontId="11" fillId="0" borderId="0" xfId="63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0" xfId="63" applyNumberFormat="1" applyFont="1" applyFill="1" applyBorder="1" applyAlignment="1" applyProtection="1">
      <alignment horizontal="center" vertical="center" wrapText="1" shrinkToFit="1"/>
      <protection locked="0"/>
    </xf>
    <xf numFmtId="0" fontId="25" fillId="0" borderId="6" xfId="58" applyFont="1" applyFill="1" applyBorder="1" applyAlignment="1" applyProtection="1">
      <alignment horizontal="center" vertical="center" wrapText="1" shrinkToFit="1"/>
      <protection locked="0"/>
    </xf>
    <xf numFmtId="0" fontId="24" fillId="0" borderId="0" xfId="58" applyFont="1" applyFill="1" applyBorder="1" applyAlignment="1" applyProtection="1">
      <alignment horizontal="center" vertical="center" wrapText="1" shrinkToFit="1"/>
      <protection locked="0"/>
    </xf>
    <xf numFmtId="176" fontId="8" fillId="2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7" fillId="0" borderId="0" xfId="21" applyFont="1" applyFill="1" applyBorder="1" applyAlignment="1" applyProtection="1">
      <alignment horizontal="center" vertical="center" wrapText="1" shrinkToFit="1"/>
      <protection locked="0"/>
    </xf>
    <xf numFmtId="183" fontId="8" fillId="0" borderId="5" xfId="6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21" applyFont="1" applyFill="1" applyBorder="1" applyAlignment="1" applyProtection="1">
      <alignment horizontal="center" vertical="center" wrapText="1" shrinkToFit="1"/>
      <protection locked="0"/>
    </xf>
    <xf numFmtId="2" fontId="8" fillId="0" borderId="0" xfId="56" applyNumberFormat="1" applyFont="1" applyFill="1" applyBorder="1" applyAlignment="1" applyProtection="1">
      <alignment horizontal="center" vertical="center"/>
      <protection locked="0"/>
    </xf>
    <xf numFmtId="2" fontId="17" fillId="0" borderId="0" xfId="56" applyNumberFormat="1" applyFont="1" applyFill="1" applyBorder="1" applyAlignment="1" applyProtection="1">
      <alignment horizontal="center" vertical="center"/>
      <protection locked="0"/>
    </xf>
    <xf numFmtId="2" fontId="8" fillId="0" borderId="13" xfId="56" applyNumberFormat="1" applyFont="1" applyFill="1" applyBorder="1" applyAlignment="1" applyProtection="1">
      <alignment horizontal="center" vertical="center"/>
      <protection locked="0"/>
    </xf>
    <xf numFmtId="2" fontId="8" fillId="0" borderId="14" xfId="56" applyNumberFormat="1" applyFont="1" applyFill="1" applyBorder="1" applyAlignment="1" applyProtection="1">
      <alignment horizontal="center" vertical="center"/>
      <protection locked="0"/>
    </xf>
    <xf numFmtId="176" fontId="8" fillId="0" borderId="0" xfId="56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Alignment="1">
      <alignment horizontal="center" vertical="center"/>
    </xf>
    <xf numFmtId="0" fontId="11" fillId="0" borderId="5" xfId="13" applyFont="1" applyFill="1" applyBorder="1" applyAlignment="1" applyProtection="1">
      <alignment horizontal="center" vertical="center" wrapText="1" shrinkToFit="1"/>
      <protection locked="0"/>
    </xf>
    <xf numFmtId="0" fontId="11" fillId="0" borderId="5" xfId="48" applyNumberFormat="1" applyFont="1" applyFill="1" applyBorder="1" applyAlignment="1" applyProtection="1">
      <alignment horizontal="center" vertical="center"/>
      <protection locked="0"/>
    </xf>
    <xf numFmtId="0" fontId="11" fillId="0" borderId="8" xfId="13" applyFont="1" applyFill="1" applyBorder="1" applyAlignment="1" applyProtection="1">
      <alignment horizontal="center" vertical="center" wrapText="1" shrinkToFit="1"/>
      <protection locked="0"/>
    </xf>
    <xf numFmtId="176" fontId="7" fillId="0" borderId="0" xfId="13" applyNumberFormat="1" applyFont="1" applyFill="1" applyBorder="1" applyAlignment="1" applyProtection="1">
      <alignment horizontal="center" vertical="center" shrinkToFi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8 2" xfId="9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金沙路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0,0_x005f_x000d__x005f_x000a_NA_x005f_x000d__x005f_x000a_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_HR给水评价调整后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0,0_x000d__x000a_NA_x000d__x000a_ 2" xfId="56"/>
    <cellStyle name="Normal" xfId="57"/>
    <cellStyle name="常规 2" xfId="58"/>
    <cellStyle name="常规 2 8" xfId="59"/>
    <cellStyle name="常规 3" xfId="60"/>
    <cellStyle name="常规 4" xfId="61"/>
    <cellStyle name="常规 4 2" xfId="62"/>
    <cellStyle name="常规_Sheet1" xfId="63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37122;&#24030;&#24066;&#33322;&#31354;&#37117;&#24066;&#21306;&#27700;&#29615;&#22659;&#32508;&#21512;&#27835;&#29702;&#39033;&#30446;&#25237;&#36164;&#27719;&#24635;&#34920;2017.8.1g&#65288;&#19968;&#38454;&#27573;&#22303;&#24314;2&#19975;&#21544;&#65289;&#21547;&#31895;&#26684;&#266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近期投资汇总表"/>
      <sheetName val="投资估算表-一期工程 (2)"/>
      <sheetName val="远期投资汇总表"/>
      <sheetName val="投资估算表-二期工程 (2)"/>
      <sheetName val="花湖一期一阶段设备"/>
      <sheetName val="花湖一期二阶段设备"/>
      <sheetName val="花湖污水厂金额汇总"/>
    </sheetNames>
    <sheetDataSet>
      <sheetData sheetId="0"/>
      <sheetData sheetId="1">
        <row r="243">
          <cell r="G243">
            <v>722.25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3"/>
  <sheetViews>
    <sheetView showZeros="0" tabSelected="1" workbookViewId="0">
      <selection activeCell="A2" sqref="A2:K2"/>
    </sheetView>
  </sheetViews>
  <sheetFormatPr defaultColWidth="9" defaultRowHeight="18.75" customHeight="1"/>
  <cols>
    <col min="1" max="1" width="6.375" style="14" customWidth="1"/>
    <col min="2" max="2" width="32.25" style="17" customWidth="1"/>
    <col min="3" max="3" width="9.625" style="16" customWidth="1"/>
    <col min="4" max="4" width="9.75" style="16" customWidth="1"/>
    <col min="5" max="5" width="10.125" style="16" customWidth="1"/>
    <col min="6" max="6" width="9" style="15" customWidth="1"/>
    <col min="7" max="7" width="10.5" style="16" customWidth="1"/>
    <col min="8" max="8" width="8.75" style="16" hidden="1" customWidth="1"/>
    <col min="9" max="9" width="8.625" style="15" hidden="1" customWidth="1"/>
    <col min="10" max="10" width="8.375" style="16" hidden="1" customWidth="1"/>
    <col min="11" max="12" width="13.5" style="16" hidden="1" customWidth="1"/>
    <col min="13" max="13" width="10.125" style="16" hidden="1" customWidth="1"/>
    <col min="14" max="18" width="9.75" style="16" hidden="1" customWidth="1"/>
    <col min="19" max="19" width="11.75" style="16" hidden="1" customWidth="1"/>
    <col min="20" max="20" width="9" style="16" hidden="1" customWidth="1"/>
    <col min="21" max="21" width="10.25" style="16" hidden="1" customWidth="1"/>
    <col min="22" max="24" width="9" style="16" hidden="1" customWidth="1"/>
    <col min="25" max="16384" width="9" style="16"/>
  </cols>
  <sheetData>
    <row r="1" ht="18" customHeight="1" spans="1:1">
      <c r="A1" s="158" t="s">
        <v>0</v>
      </c>
    </row>
    <row r="2" ht="47" customHeight="1" spans="1:12">
      <c r="A2" s="355" t="s">
        <v>1</v>
      </c>
      <c r="B2" s="356"/>
      <c r="C2" s="357"/>
      <c r="D2" s="357"/>
      <c r="E2" s="357"/>
      <c r="F2" s="357"/>
      <c r="G2" s="357"/>
      <c r="H2" s="357"/>
      <c r="I2" s="357"/>
      <c r="J2" s="357"/>
      <c r="K2" s="361"/>
      <c r="L2" s="59"/>
    </row>
    <row r="3" ht="21" customHeight="1" spans="1:12">
      <c r="A3" s="21" t="s">
        <v>2</v>
      </c>
      <c r="B3" s="22" t="s">
        <v>3</v>
      </c>
      <c r="C3" s="23" t="s">
        <v>4</v>
      </c>
      <c r="D3" s="24"/>
      <c r="E3" s="24"/>
      <c r="F3" s="24"/>
      <c r="G3" s="24"/>
      <c r="H3" s="23" t="s">
        <v>5</v>
      </c>
      <c r="I3" s="23" t="s">
        <v>6</v>
      </c>
      <c r="J3" s="60" t="s">
        <v>7</v>
      </c>
      <c r="K3" s="61" t="s">
        <v>8</v>
      </c>
      <c r="L3" s="362"/>
    </row>
    <row r="4" ht="21" customHeight="1" spans="1:12">
      <c r="A4" s="25"/>
      <c r="B4" s="26"/>
      <c r="C4" s="27" t="s">
        <v>9</v>
      </c>
      <c r="D4" s="27" t="s">
        <v>10</v>
      </c>
      <c r="E4" s="27" t="s">
        <v>11</v>
      </c>
      <c r="F4" s="27" t="s">
        <v>12</v>
      </c>
      <c r="G4" s="27" t="s">
        <v>13</v>
      </c>
      <c r="H4" s="30"/>
      <c r="I4" s="30"/>
      <c r="J4" s="62"/>
      <c r="K4" s="63"/>
      <c r="L4" s="363"/>
    </row>
    <row r="5" ht="18" customHeight="1" spans="1:12">
      <c r="A5" s="28" t="s">
        <v>14</v>
      </c>
      <c r="B5" s="29" t="s">
        <v>15</v>
      </c>
      <c r="C5" s="30">
        <f>SUM(C7:C39)</f>
        <v>3618.9078</v>
      </c>
      <c r="D5" s="30">
        <f>SUM(D7:D39)</f>
        <v>1161.6233917</v>
      </c>
      <c r="E5" s="30">
        <f>SUM(E7:E39)</f>
        <v>548.732547</v>
      </c>
      <c r="F5" s="30">
        <f>SUM(F7:F39)</f>
        <v>0</v>
      </c>
      <c r="G5" s="30">
        <f>SUM(G7:G39)</f>
        <v>5329.2637387</v>
      </c>
      <c r="H5" s="119" t="s">
        <v>16</v>
      </c>
      <c r="I5" s="119">
        <v>10000</v>
      </c>
      <c r="J5" s="120"/>
      <c r="K5" s="364" t="s">
        <v>17</v>
      </c>
      <c r="L5" s="363"/>
    </row>
    <row r="6" ht="18" customHeight="1" spans="1:14">
      <c r="A6" s="116" t="s">
        <v>18</v>
      </c>
      <c r="B6" s="81" t="s">
        <v>19</v>
      </c>
      <c r="C6" s="39">
        <f>SUM(C7:C17)</f>
        <v>1698.1746</v>
      </c>
      <c r="D6" s="39">
        <f>SUM(D7:D17)</f>
        <v>0</v>
      </c>
      <c r="E6" s="39">
        <f>SUM(E7:E17)</f>
        <v>242.4618</v>
      </c>
      <c r="F6" s="39">
        <f>SUM(F7:F17)</f>
        <v>0</v>
      </c>
      <c r="G6" s="39">
        <f>SUM(G7:G17)</f>
        <v>1940.6364</v>
      </c>
      <c r="H6" s="64"/>
      <c r="I6" s="64"/>
      <c r="J6" s="117"/>
      <c r="K6" s="252"/>
      <c r="L6" s="365"/>
      <c r="M6" s="15" t="e">
        <f>#REF!+#REF!</f>
        <v>#REF!</v>
      </c>
      <c r="N6" s="16" t="e">
        <f>M6*1.2+G$41</f>
        <v>#REF!</v>
      </c>
    </row>
    <row r="7" ht="18" customHeight="1" spans="1:18">
      <c r="A7" s="116"/>
      <c r="B7" s="81" t="s">
        <v>20</v>
      </c>
      <c r="C7" s="39">
        <v>944.5951</v>
      </c>
      <c r="D7" s="39"/>
      <c r="E7" s="39"/>
      <c r="F7" s="39"/>
      <c r="G7" s="40">
        <f t="shared" ref="G7:G39" si="0">SUM(C7:F7)</f>
        <v>944.5951</v>
      </c>
      <c r="H7" s="64" t="s">
        <v>21</v>
      </c>
      <c r="I7" s="366">
        <v>189748.24</v>
      </c>
      <c r="J7" s="117">
        <f>C7/I7*10000</f>
        <v>49.7814946794763</v>
      </c>
      <c r="K7" s="252"/>
      <c r="L7" s="365"/>
      <c r="M7" s="15"/>
      <c r="O7" s="16">
        <f>(9450*(20.42-17.28)+6180*(20.2-15.4)+(162*165-9450-6180)*(20.2-15.1))*1.15+32000+16000*2</f>
        <v>197339.05</v>
      </c>
      <c r="P7" s="16">
        <f>(9450*(20.42-17.28)+6180*(20.2-15.4)+(25460-9450-6180)*(20.2-15.1))*1.1</f>
        <v>120417</v>
      </c>
      <c r="R7" s="16">
        <f>P7/25460</f>
        <v>4.72965435978005</v>
      </c>
    </row>
    <row r="8" ht="18" customHeight="1" spans="1:18">
      <c r="A8" s="116"/>
      <c r="B8" s="81" t="s">
        <v>22</v>
      </c>
      <c r="C8" s="39">
        <v>247.65</v>
      </c>
      <c r="D8" s="39"/>
      <c r="E8" s="39"/>
      <c r="F8" s="39"/>
      <c r="G8" s="40">
        <f t="shared" si="0"/>
        <v>247.65</v>
      </c>
      <c r="H8" s="64" t="s">
        <v>23</v>
      </c>
      <c r="I8" s="64">
        <v>6402</v>
      </c>
      <c r="J8" s="117">
        <f t="shared" ref="J8:J12" si="1">C8/I8*10000</f>
        <v>386.832239925023</v>
      </c>
      <c r="K8" s="252"/>
      <c r="L8" s="365"/>
      <c r="M8" s="15"/>
      <c r="P8" s="16">
        <f>6180*(20.2-15.4)+(25460-9450-6180)*(20.2-15.1)</f>
        <v>79797</v>
      </c>
      <c r="R8" s="16">
        <f>P8/(25460-9450)</f>
        <v>4.9841973766396</v>
      </c>
    </row>
    <row r="9" ht="18" customHeight="1" spans="1:12">
      <c r="A9" s="116"/>
      <c r="B9" s="81" t="s">
        <v>24</v>
      </c>
      <c r="C9" s="39">
        <v>168.6265</v>
      </c>
      <c r="D9" s="39"/>
      <c r="E9" s="39"/>
      <c r="F9" s="39"/>
      <c r="G9" s="40">
        <f t="shared" si="0"/>
        <v>168.6265</v>
      </c>
      <c r="H9" s="64" t="s">
        <v>23</v>
      </c>
      <c r="I9" s="117">
        <f>26793-4367-I8</f>
        <v>16024</v>
      </c>
      <c r="J9" s="117">
        <f t="shared" si="1"/>
        <v>105.233711932102</v>
      </c>
      <c r="K9" s="252"/>
      <c r="L9" s="365" t="e">
        <f>#REF!+9.45*7.82+19.6*7.8+30*30+3.14*11.7*11.7+3.14*6.3*6.3+18.3*19.4+24.9*5.7+9.6*8.3+20*2.1+6.4*6.4+L27+L28+#REF!+L29+L30+#REF!</f>
        <v>#REF!</v>
      </c>
    </row>
    <row r="10" ht="18" customHeight="1" spans="1:12">
      <c r="A10" s="116"/>
      <c r="B10" s="81" t="s">
        <v>25</v>
      </c>
      <c r="C10" s="39">
        <v>15</v>
      </c>
      <c r="D10" s="39"/>
      <c r="E10" s="39"/>
      <c r="F10" s="39"/>
      <c r="G10" s="40">
        <f t="shared" si="0"/>
        <v>15</v>
      </c>
      <c r="H10" s="81" t="s">
        <v>26</v>
      </c>
      <c r="I10" s="117">
        <v>1</v>
      </c>
      <c r="J10" s="117">
        <v>150000</v>
      </c>
      <c r="K10" s="252"/>
      <c r="L10" s="365"/>
    </row>
    <row r="11" ht="18" customHeight="1" spans="1:12">
      <c r="A11" s="116"/>
      <c r="B11" s="81" t="s">
        <v>27</v>
      </c>
      <c r="C11" s="39">
        <v>71.99</v>
      </c>
      <c r="D11" s="39"/>
      <c r="E11" s="39"/>
      <c r="F11" s="39"/>
      <c r="G11" s="40">
        <f t="shared" si="0"/>
        <v>71.99</v>
      </c>
      <c r="H11" s="64" t="s">
        <v>23</v>
      </c>
      <c r="I11" s="131">
        <v>2688.23</v>
      </c>
      <c r="J11" s="117">
        <f t="shared" si="1"/>
        <v>267.797026296113</v>
      </c>
      <c r="K11" s="252"/>
      <c r="L11" s="365"/>
    </row>
    <row r="12" ht="18" customHeight="1" spans="1:12">
      <c r="A12" s="116"/>
      <c r="B12" s="81" t="s">
        <v>28</v>
      </c>
      <c r="C12" s="39">
        <v>35.78</v>
      </c>
      <c r="D12" s="39"/>
      <c r="E12" s="39"/>
      <c r="F12" s="39"/>
      <c r="G12" s="40">
        <f t="shared" si="0"/>
        <v>35.78</v>
      </c>
      <c r="H12" s="64" t="s">
        <v>29</v>
      </c>
      <c r="I12" s="64">
        <v>784</v>
      </c>
      <c r="J12" s="117">
        <f t="shared" si="1"/>
        <v>456.377551020408</v>
      </c>
      <c r="K12" s="252"/>
      <c r="L12" s="365"/>
    </row>
    <row r="13" ht="18" customHeight="1" spans="1:12">
      <c r="A13" s="116"/>
      <c r="B13" s="81" t="s">
        <v>30</v>
      </c>
      <c r="C13" s="39">
        <v>8.76</v>
      </c>
      <c r="D13" s="39"/>
      <c r="E13" s="39"/>
      <c r="F13" s="39"/>
      <c r="G13" s="40">
        <f t="shared" si="0"/>
        <v>8.76</v>
      </c>
      <c r="H13" s="64"/>
      <c r="I13" s="64"/>
      <c r="J13" s="117"/>
      <c r="K13" s="252"/>
      <c r="L13" s="365"/>
    </row>
    <row r="14" ht="18" customHeight="1" spans="1:12">
      <c r="A14" s="116"/>
      <c r="B14" s="81" t="s">
        <v>31</v>
      </c>
      <c r="C14" s="39">
        <v>119.361</v>
      </c>
      <c r="D14" s="39"/>
      <c r="E14" s="39"/>
      <c r="F14" s="39"/>
      <c r="G14" s="40">
        <f t="shared" si="0"/>
        <v>119.361</v>
      </c>
      <c r="H14" s="64"/>
      <c r="I14" s="64"/>
      <c r="J14" s="117"/>
      <c r="K14" s="252"/>
      <c r="L14" s="365"/>
    </row>
    <row r="15" ht="18" customHeight="1" spans="1:12">
      <c r="A15" s="116"/>
      <c r="B15" s="81" t="s">
        <v>32</v>
      </c>
      <c r="C15" s="39">
        <v>57.59</v>
      </c>
      <c r="D15" s="39"/>
      <c r="E15" s="39"/>
      <c r="F15" s="39"/>
      <c r="G15" s="40">
        <f t="shared" si="0"/>
        <v>57.59</v>
      </c>
      <c r="H15" s="64"/>
      <c r="I15" s="64"/>
      <c r="J15" s="117"/>
      <c r="K15" s="252"/>
      <c r="L15" s="365"/>
    </row>
    <row r="16" ht="18" customHeight="1" spans="1:12">
      <c r="A16" s="116"/>
      <c r="B16" s="81" t="s">
        <v>33</v>
      </c>
      <c r="C16" s="39">
        <v>28.822</v>
      </c>
      <c r="D16" s="39"/>
      <c r="E16" s="39"/>
      <c r="F16" s="39"/>
      <c r="G16" s="40">
        <f t="shared" si="0"/>
        <v>28.822</v>
      </c>
      <c r="H16" s="64"/>
      <c r="I16" s="64"/>
      <c r="J16" s="117"/>
      <c r="K16" s="252"/>
      <c r="L16" s="365"/>
    </row>
    <row r="17" ht="18" customHeight="1" spans="1:20">
      <c r="A17" s="116"/>
      <c r="B17" s="81" t="s">
        <v>34</v>
      </c>
      <c r="C17" s="39"/>
      <c r="D17" s="39"/>
      <c r="E17" s="39">
        <v>242.4618</v>
      </c>
      <c r="F17" s="39"/>
      <c r="G17" s="40">
        <f t="shared" si="0"/>
        <v>242.4618</v>
      </c>
      <c r="H17" s="64"/>
      <c r="I17" s="64"/>
      <c r="J17" s="117"/>
      <c r="K17" s="252"/>
      <c r="L17" s="365"/>
      <c r="M17" s="168" t="s">
        <v>35</v>
      </c>
      <c r="O17" s="168" t="s">
        <v>36</v>
      </c>
      <c r="R17" s="168" t="s">
        <v>37</v>
      </c>
      <c r="S17" s="168" t="s">
        <v>38</v>
      </c>
      <c r="T17" s="16" t="s">
        <v>39</v>
      </c>
    </row>
    <row r="18" ht="18" customHeight="1" spans="1:24">
      <c r="A18" s="116" t="s">
        <v>40</v>
      </c>
      <c r="B18" s="81" t="s">
        <v>41</v>
      </c>
      <c r="C18" s="39">
        <v>238.1978</v>
      </c>
      <c r="D18" s="39">
        <f>SUM(花湖一期一阶段设备表!G16:G24)</f>
        <v>39.1088</v>
      </c>
      <c r="E18" s="39">
        <v>25.424179</v>
      </c>
      <c r="F18" s="39"/>
      <c r="G18" s="40">
        <f t="shared" si="0"/>
        <v>302.730779</v>
      </c>
      <c r="H18" s="64" t="s">
        <v>42</v>
      </c>
      <c r="I18" s="64">
        <f>L18</f>
        <v>1868.61</v>
      </c>
      <c r="J18" s="117">
        <f>C18/I18*10000</f>
        <v>1274.73255521484</v>
      </c>
      <c r="K18" s="252" t="s">
        <v>43</v>
      </c>
      <c r="L18" s="365">
        <f>11.9*3.6*12+14.5*6.6*12.9+15*4*2</f>
        <v>1868.61</v>
      </c>
      <c r="M18" s="16" t="s">
        <v>44</v>
      </c>
      <c r="O18" s="16">
        <f>(20.1*17.3*0.75+((10.8+3.8)*2*0.4+8.5*0.8)*11.5+(15.8*2+6.6*3)*0.6*13.4+4.45*15.8*0.25+(4*2+15.8)*2.4*0.2)*1.1</f>
        <v>1007.1325</v>
      </c>
      <c r="P18" s="16">
        <f>O18*0.23</f>
        <v>231.640475</v>
      </c>
      <c r="Q18" s="376">
        <f>P18/I18*10000</f>
        <v>1239.64056170094</v>
      </c>
      <c r="R18" s="16">
        <f>24.1*21.3*(15.4-6.25)+(24.1*21.3*(15.4-6.25)-20.1*17.3*(15.4-6.25))</f>
        <v>6212.2095</v>
      </c>
      <c r="S18" s="16">
        <f>(24.1+21.3)*2</f>
        <v>90.8</v>
      </c>
      <c r="U18" s="16">
        <f>R18*61/10000</f>
        <v>37.89447795</v>
      </c>
      <c r="W18" s="16">
        <v>254241.79</v>
      </c>
      <c r="X18" s="16">
        <f>W18/10000</f>
        <v>25.424179</v>
      </c>
    </row>
    <row r="19" ht="18" customHeight="1" spans="1:24">
      <c r="A19" s="116" t="s">
        <v>45</v>
      </c>
      <c r="B19" s="81" t="s">
        <v>46</v>
      </c>
      <c r="C19" s="39">
        <v>124.7</v>
      </c>
      <c r="D19" s="39">
        <f>SUM(花湖一期一阶段设备表!G26:G40)</f>
        <v>71.528</v>
      </c>
      <c r="E19" s="39">
        <v>36.795749</v>
      </c>
      <c r="F19" s="39"/>
      <c r="G19" s="40">
        <f t="shared" si="0"/>
        <v>233.023749</v>
      </c>
      <c r="H19" s="64" t="s">
        <v>42</v>
      </c>
      <c r="I19" s="367">
        <f>L19</f>
        <v>861.7602</v>
      </c>
      <c r="J19" s="117">
        <f t="shared" ref="J19:J30" si="2">C19/I19*10000</f>
        <v>1447.03828280768</v>
      </c>
      <c r="K19" s="252" t="s">
        <v>43</v>
      </c>
      <c r="L19" s="365">
        <f>9.45*7.82*3.8+19.6*7.8*3.8</f>
        <v>861.7602</v>
      </c>
      <c r="M19" s="16" t="s">
        <v>44</v>
      </c>
      <c r="O19" s="16">
        <f>((9.8*8.8+16.8*8.82+3.2*6.6)*0.4+(9.4*4+8)*0.25*3.8+(4.6+0.9)*2*0.2*1.3+4.2*0.5*0.25+(16.8*5+8*3)*0.3*3.8+(2.5*2+5.8)*0.3*5.65)*1.2</f>
        <v>348.41448</v>
      </c>
      <c r="P19" s="16">
        <f>O19*0.23</f>
        <v>80.1353304</v>
      </c>
      <c r="Q19" s="376">
        <f t="shared" ref="Q19:Q27" si="3">P19/I19*10000</f>
        <v>929.902894099774</v>
      </c>
      <c r="U19" s="16">
        <f t="shared" ref="U19:U23" si="4">R19*61/10000</f>
        <v>0</v>
      </c>
      <c r="W19" s="16">
        <v>367957.49</v>
      </c>
      <c r="X19" s="16">
        <f t="shared" ref="X19:X32" si="5">W19/10000</f>
        <v>36.795749</v>
      </c>
    </row>
    <row r="20" ht="18" customHeight="1" spans="1:24">
      <c r="A20" s="116" t="s">
        <v>47</v>
      </c>
      <c r="B20" s="81" t="s">
        <v>48</v>
      </c>
      <c r="C20" s="39">
        <v>455.43</v>
      </c>
      <c r="D20" s="39">
        <f>SUM(花湖一期一阶段设备表!G42:G51)</f>
        <v>74.444</v>
      </c>
      <c r="E20" s="39">
        <v>20.1813</v>
      </c>
      <c r="F20" s="39"/>
      <c r="G20" s="40">
        <f t="shared" si="0"/>
        <v>550.0553</v>
      </c>
      <c r="H20" s="64" t="s">
        <v>42</v>
      </c>
      <c r="I20" s="367">
        <f t="shared" ref="I20:I29" si="6">L20</f>
        <v>8685</v>
      </c>
      <c r="J20" s="117">
        <f t="shared" si="2"/>
        <v>524.386873920553</v>
      </c>
      <c r="K20" s="252" t="s">
        <v>49</v>
      </c>
      <c r="L20" s="365">
        <f>60*15*9.65</f>
        <v>8685</v>
      </c>
      <c r="M20" s="16" t="s">
        <v>50</v>
      </c>
      <c r="O20" s="16">
        <f>(60.3*29.5*0.6+28.3*8.85*0.5*7+59.1*8.85*0.5*4+59.1*28.3*0.2)*1.03*0.55</f>
        <v>1883.31707025</v>
      </c>
      <c r="P20" s="16">
        <f t="shared" ref="P20:P26" si="7">O20*0.23</f>
        <v>433.1629261575</v>
      </c>
      <c r="Q20" s="376">
        <f t="shared" si="3"/>
        <v>498.748331787565</v>
      </c>
      <c r="R20" s="16">
        <f>(64.3*33.5*(17.1-14.25)+(64.3*33.5*(17.1-14.25)-60.3*19.5*(17.1-14.25)))*0.55</f>
        <v>4909.801875</v>
      </c>
      <c r="T20" s="16">
        <f>(64.3+33.5/2)*2</f>
        <v>162.1</v>
      </c>
      <c r="U20" s="16">
        <f t="shared" si="4"/>
        <v>29.9497914375</v>
      </c>
      <c r="W20" s="16">
        <v>201813</v>
      </c>
      <c r="X20" s="16">
        <f t="shared" si="5"/>
        <v>20.1813</v>
      </c>
    </row>
    <row r="21" ht="18" customHeight="1" spans="1:24">
      <c r="A21" s="116" t="s">
        <v>51</v>
      </c>
      <c r="B21" s="81" t="s">
        <v>52</v>
      </c>
      <c r="C21" s="39">
        <v>143.759</v>
      </c>
      <c r="D21" s="39">
        <f>SUM(花湖一期一阶段设备表!G53:G59)</f>
        <v>44.9968</v>
      </c>
      <c r="E21" s="39">
        <v>15.877288</v>
      </c>
      <c r="F21" s="39"/>
      <c r="G21" s="40">
        <f t="shared" si="0"/>
        <v>204.633088</v>
      </c>
      <c r="H21" s="64" t="s">
        <v>42</v>
      </c>
      <c r="I21" s="367">
        <f t="shared" si="6"/>
        <v>2407.07376</v>
      </c>
      <c r="J21" s="117">
        <f t="shared" si="2"/>
        <v>597.235541298909</v>
      </c>
      <c r="K21" s="252" t="s">
        <v>49</v>
      </c>
      <c r="L21" s="365">
        <f>3.14*11.7*11.7*5.6</f>
        <v>2407.07376</v>
      </c>
      <c r="M21" s="16" t="s">
        <v>50</v>
      </c>
      <c r="O21" s="16">
        <f>(3.14*12.3*12.3*0.45+3.14*11.675*2*4.65*0.35+(0.8*2+1.1)*4.65*0.25*4)*1.1</f>
        <v>380.21988675</v>
      </c>
      <c r="P21" s="16">
        <f t="shared" si="7"/>
        <v>87.4505739525</v>
      </c>
      <c r="Q21" s="376">
        <f t="shared" si="3"/>
        <v>363.306581649995</v>
      </c>
      <c r="R21" s="16">
        <f>(3.14*14.3*14.3*(16.35-14.55)*2-3.14*12.3*12.3*(16.35-14.55))</f>
        <v>1456.46388</v>
      </c>
      <c r="T21" s="16">
        <f>3.14*14.3*2</f>
        <v>89.804</v>
      </c>
      <c r="U21" s="16">
        <f t="shared" si="4"/>
        <v>8.884429668</v>
      </c>
      <c r="W21" s="16">
        <v>158772.88</v>
      </c>
      <c r="X21" s="16">
        <f t="shared" si="5"/>
        <v>15.877288</v>
      </c>
    </row>
    <row r="22" ht="18" customHeight="1" spans="1:24">
      <c r="A22" s="116" t="s">
        <v>53</v>
      </c>
      <c r="B22" s="81" t="s">
        <v>54</v>
      </c>
      <c r="C22" s="39">
        <v>111.0314</v>
      </c>
      <c r="D22" s="39">
        <f>SUM(花湖一期一阶段设备表!G61:G65)</f>
        <v>25.52</v>
      </c>
      <c r="E22" s="39">
        <v>34.153296</v>
      </c>
      <c r="F22" s="39"/>
      <c r="G22" s="40">
        <f t="shared" si="0"/>
        <v>170.704696</v>
      </c>
      <c r="H22" s="64" t="s">
        <v>42</v>
      </c>
      <c r="I22" s="367">
        <f t="shared" si="6"/>
        <v>1796.38096</v>
      </c>
      <c r="J22" s="117">
        <f t="shared" si="2"/>
        <v>618.083816697768</v>
      </c>
      <c r="K22" s="252" t="s">
        <v>43</v>
      </c>
      <c r="L22" s="365">
        <f>3.14*(17.6/2)^2*6.85+2.5*3.3*5*2+3.2*2.2*6.85</f>
        <v>1796.38096</v>
      </c>
      <c r="M22" s="16" t="s">
        <v>44</v>
      </c>
      <c r="O22" s="16">
        <f>(3.14*12.3*12.3*0.4+3.14*12.6*4.75*0.3+3.14*9.6*6.85*0.3+3.14*6.6*6.85*1.46+(6*2+5.6)*6.85*0.3*3)*1.1</f>
        <v>686.5205424</v>
      </c>
      <c r="P22" s="16">
        <f t="shared" si="7"/>
        <v>157.899724752</v>
      </c>
      <c r="Q22" s="376">
        <f t="shared" si="3"/>
        <v>878.987966739527</v>
      </c>
      <c r="R22" s="16">
        <f>3.14*14.3*14.3*(16.35-14.4)</f>
        <v>1252.09227</v>
      </c>
      <c r="T22" s="16">
        <f>3.14*14.3*2</f>
        <v>89.804</v>
      </c>
      <c r="U22" s="16">
        <f t="shared" si="4"/>
        <v>7.63776284700001</v>
      </c>
      <c r="W22" s="16">
        <v>341532.96</v>
      </c>
      <c r="X22" s="16">
        <f t="shared" si="5"/>
        <v>34.153296</v>
      </c>
    </row>
    <row r="23" ht="18" customHeight="1" spans="1:24">
      <c r="A23" s="116" t="s">
        <v>55</v>
      </c>
      <c r="B23" s="81" t="s">
        <v>56</v>
      </c>
      <c r="C23" s="39">
        <v>232.354</v>
      </c>
      <c r="D23" s="39">
        <f>SUM(花湖一期一阶段设备表!G67:G76)</f>
        <v>73.07664</v>
      </c>
      <c r="E23" s="39">
        <v>23.933556</v>
      </c>
      <c r="F23" s="39"/>
      <c r="G23" s="40">
        <f t="shared" si="0"/>
        <v>329.364196</v>
      </c>
      <c r="H23" s="64" t="s">
        <v>42</v>
      </c>
      <c r="I23" s="367">
        <f t="shared" si="6"/>
        <v>2485.14</v>
      </c>
      <c r="J23" s="117">
        <f t="shared" si="2"/>
        <v>934.973482379262</v>
      </c>
      <c r="K23" s="252" t="s">
        <v>57</v>
      </c>
      <c r="L23" s="365">
        <f>18.3*19.4*7</f>
        <v>2485.14</v>
      </c>
      <c r="M23" s="16" t="s">
        <v>58</v>
      </c>
      <c r="O23" s="16">
        <f>(22.5*18.6*0.5+(17.6*4+18*5)*6.5*0.4)*1.1</f>
        <v>688.919</v>
      </c>
      <c r="P23" s="16">
        <f t="shared" si="7"/>
        <v>158.45137</v>
      </c>
      <c r="Q23" s="376">
        <f t="shared" si="3"/>
        <v>637.595346741029</v>
      </c>
      <c r="R23" s="16">
        <f>26.5*22.6*(16.35-13.5)</f>
        <v>1706.865</v>
      </c>
      <c r="T23" s="16">
        <f>(26.5+22.6)*2</f>
        <v>98.2</v>
      </c>
      <c r="U23" s="16">
        <f t="shared" si="4"/>
        <v>10.4118765</v>
      </c>
      <c r="W23" s="16">
        <v>239335.56</v>
      </c>
      <c r="X23" s="16">
        <f t="shared" si="5"/>
        <v>23.933556</v>
      </c>
    </row>
    <row r="24" ht="18" customHeight="1" spans="1:24">
      <c r="A24" s="116" t="s">
        <v>59</v>
      </c>
      <c r="B24" s="81" t="s">
        <v>60</v>
      </c>
      <c r="C24" s="39">
        <v>96.929</v>
      </c>
      <c r="D24" s="240">
        <f>SUM(花湖一期一阶段设备表!G78:G84)</f>
        <v>8.99</v>
      </c>
      <c r="E24" s="39">
        <v>12.372132</v>
      </c>
      <c r="F24" s="39"/>
      <c r="G24" s="40">
        <f t="shared" si="0"/>
        <v>118.291132</v>
      </c>
      <c r="H24" s="64" t="s">
        <v>42</v>
      </c>
      <c r="I24" s="367">
        <f t="shared" si="6"/>
        <v>1415.3955</v>
      </c>
      <c r="J24" s="117">
        <f t="shared" si="2"/>
        <v>684.819190113293</v>
      </c>
      <c r="K24" s="252" t="s">
        <v>57</v>
      </c>
      <c r="L24" s="365">
        <f>24.9*5.7*5.6+9.5*6.5*10.05</f>
        <v>1415.3955</v>
      </c>
      <c r="M24" s="16" t="s">
        <v>58</v>
      </c>
      <c r="O24" s="16">
        <f>(25.7*21.75*0.4+(23.25*3+24.9*7)*5*0.3)*1.1*0.55</f>
        <v>356.747325</v>
      </c>
      <c r="P24" s="16">
        <f t="shared" si="7"/>
        <v>82.05188475</v>
      </c>
      <c r="Q24" s="376">
        <f t="shared" si="3"/>
        <v>579.709945029499</v>
      </c>
      <c r="W24" s="16">
        <v>123721.32</v>
      </c>
      <c r="X24" s="16">
        <f t="shared" si="5"/>
        <v>12.372132</v>
      </c>
    </row>
    <row r="25" ht="18" customHeight="1" spans="1:24">
      <c r="A25" s="116" t="s">
        <v>61</v>
      </c>
      <c r="B25" s="81" t="s">
        <v>62</v>
      </c>
      <c r="C25" s="39">
        <v>14.966</v>
      </c>
      <c r="D25" s="242"/>
      <c r="E25" s="39"/>
      <c r="F25" s="39"/>
      <c r="G25" s="40">
        <f t="shared" si="0"/>
        <v>14.966</v>
      </c>
      <c r="H25" s="64" t="s">
        <v>42</v>
      </c>
      <c r="I25" s="367">
        <f t="shared" si="6"/>
        <v>126</v>
      </c>
      <c r="J25" s="117">
        <f t="shared" si="2"/>
        <v>1187.77777777778</v>
      </c>
      <c r="K25" s="252" t="s">
        <v>43</v>
      </c>
      <c r="L25" s="365">
        <f>20*2.1*3</f>
        <v>126</v>
      </c>
      <c r="M25" s="16" t="s">
        <v>44</v>
      </c>
      <c r="O25" s="16">
        <f>(18.5*2.6*0.3+2*(4.6+2+1.2+3.8)*0.25+(14.4*2.6*2+1.5*4.6+1.5*3.8)*0.25)*1.05</f>
        <v>44.205</v>
      </c>
      <c r="P25" s="16">
        <f t="shared" si="7"/>
        <v>10.16715</v>
      </c>
      <c r="Q25" s="376">
        <f t="shared" si="3"/>
        <v>806.916666666667</v>
      </c>
      <c r="W25" s="16">
        <v>94294.26</v>
      </c>
      <c r="X25" s="16">
        <f t="shared" si="5"/>
        <v>9.429426</v>
      </c>
    </row>
    <row r="26" ht="18" customHeight="1" spans="1:24">
      <c r="A26" s="116" t="s">
        <v>63</v>
      </c>
      <c r="B26" s="81" t="s">
        <v>64</v>
      </c>
      <c r="C26" s="39">
        <v>17.9063</v>
      </c>
      <c r="D26" s="39"/>
      <c r="E26" s="39">
        <v>9.429426</v>
      </c>
      <c r="F26" s="39"/>
      <c r="G26" s="40">
        <f t="shared" si="0"/>
        <v>27.335726</v>
      </c>
      <c r="H26" s="64" t="s">
        <v>42</v>
      </c>
      <c r="I26" s="367">
        <f t="shared" si="6"/>
        <v>221.184</v>
      </c>
      <c r="J26" s="117">
        <f t="shared" si="2"/>
        <v>809.565791377315</v>
      </c>
      <c r="K26" s="252" t="s">
        <v>43</v>
      </c>
      <c r="L26" s="365">
        <f>6.4*6.4*5.4</f>
        <v>221.184</v>
      </c>
      <c r="M26" s="16" t="s">
        <v>44</v>
      </c>
      <c r="O26" s="16">
        <f>(7.15*7.3*0.3+(6.5*3+6.55*2)*5.15*0.25+1.9*1.9*0.25+1.9*4*2.15*0.2+6.55*6.5*0.2)*1.03</f>
        <v>72.425995</v>
      </c>
      <c r="P26" s="16">
        <f t="shared" si="7"/>
        <v>16.65797885</v>
      </c>
      <c r="Q26" s="376">
        <f t="shared" si="3"/>
        <v>753.1276606807</v>
      </c>
      <c r="W26" s="16">
        <v>80539.34</v>
      </c>
      <c r="X26" s="16">
        <f t="shared" si="5"/>
        <v>8.053934</v>
      </c>
    </row>
    <row r="27" ht="18" customHeight="1" spans="1:24">
      <c r="A27" s="116" t="s">
        <v>65</v>
      </c>
      <c r="B27" s="81" t="s">
        <v>66</v>
      </c>
      <c r="C27" s="39">
        <v>56.5279</v>
      </c>
      <c r="D27" s="39">
        <f>SUM(花湖一期一阶段设备表!G117:G123)</f>
        <v>77.98</v>
      </c>
      <c r="E27" s="39">
        <v>8.053934</v>
      </c>
      <c r="F27" s="39"/>
      <c r="G27" s="40">
        <f t="shared" si="0"/>
        <v>142.561834</v>
      </c>
      <c r="H27" s="64" t="s">
        <v>23</v>
      </c>
      <c r="I27" s="367">
        <f t="shared" si="6"/>
        <v>249.6</v>
      </c>
      <c r="J27" s="117">
        <f t="shared" si="2"/>
        <v>2264.73958333333</v>
      </c>
      <c r="K27" s="252" t="s">
        <v>43</v>
      </c>
      <c r="L27" s="365">
        <f>24*10.4</f>
        <v>249.6</v>
      </c>
      <c r="M27" s="16" t="s">
        <v>44</v>
      </c>
      <c r="P27" s="15">
        <f>SUM(C18,C19,C20:C24,C25:C26)</f>
        <v>1435.2735</v>
      </c>
      <c r="Q27" s="16">
        <f t="shared" si="3"/>
        <v>57502.9447115385</v>
      </c>
      <c r="U27" s="16">
        <f>SUM(P18:P26,U18:U26)</f>
        <v>1352.3957522645</v>
      </c>
      <c r="W27" s="16">
        <v>97128.21</v>
      </c>
      <c r="X27" s="16">
        <f t="shared" si="5"/>
        <v>9.712821</v>
      </c>
    </row>
    <row r="28" ht="18" customHeight="1" spans="1:24">
      <c r="A28" s="116" t="s">
        <v>67</v>
      </c>
      <c r="B28" s="81" t="s">
        <v>68</v>
      </c>
      <c r="C28" s="39">
        <v>115.774</v>
      </c>
      <c r="D28" s="39">
        <f>SUM(花湖一期一阶段设备表!G86:G88)</f>
        <v>14.848</v>
      </c>
      <c r="E28" s="39">
        <v>9.712821</v>
      </c>
      <c r="F28" s="39"/>
      <c r="G28" s="40">
        <f t="shared" si="0"/>
        <v>140.334821</v>
      </c>
      <c r="H28" s="64" t="s">
        <v>23</v>
      </c>
      <c r="I28" s="367">
        <f>L28+247.68</f>
        <v>390.44</v>
      </c>
      <c r="J28" s="117">
        <f t="shared" si="2"/>
        <v>2965.21872758939</v>
      </c>
      <c r="K28" s="252" t="s">
        <v>43</v>
      </c>
      <c r="L28" s="365">
        <f>16.6*8.6</f>
        <v>142.76</v>
      </c>
      <c r="M28" s="16" t="s">
        <v>44</v>
      </c>
      <c r="U28" s="16">
        <f>P27/U27</f>
        <v>1.06128217098932</v>
      </c>
      <c r="W28" s="16">
        <v>94728.27</v>
      </c>
      <c r="X28" s="16">
        <f t="shared" si="5"/>
        <v>9.472827</v>
      </c>
    </row>
    <row r="29" ht="18" customHeight="1" spans="1:24">
      <c r="A29" s="116" t="s">
        <v>69</v>
      </c>
      <c r="B29" s="81" t="s">
        <v>70</v>
      </c>
      <c r="C29" s="39">
        <v>65.81</v>
      </c>
      <c r="D29" s="39">
        <f>SUM(花湖一期一阶段设备表!G90:G115)</f>
        <v>53.8792</v>
      </c>
      <c r="E29" s="39">
        <v>9.472827</v>
      </c>
      <c r="F29" s="39"/>
      <c r="G29" s="40">
        <f t="shared" si="0"/>
        <v>129.162027</v>
      </c>
      <c r="H29" s="64" t="s">
        <v>23</v>
      </c>
      <c r="I29" s="367">
        <f t="shared" si="6"/>
        <v>246.84</v>
      </c>
      <c r="J29" s="117">
        <f t="shared" si="2"/>
        <v>2666.0994976503</v>
      </c>
      <c r="K29" s="252" t="s">
        <v>43</v>
      </c>
      <c r="L29" s="365">
        <f>24.2*10.2</f>
        <v>246.84</v>
      </c>
      <c r="M29" s="16" t="s">
        <v>44</v>
      </c>
      <c r="W29" s="16">
        <v>44623.96</v>
      </c>
      <c r="X29" s="16">
        <f t="shared" si="5"/>
        <v>4.462396</v>
      </c>
    </row>
    <row r="30" ht="18" customHeight="1" spans="1:24">
      <c r="A30" s="116" t="s">
        <v>71</v>
      </c>
      <c r="B30" s="81" t="s">
        <v>72</v>
      </c>
      <c r="C30" s="39">
        <v>215.6</v>
      </c>
      <c r="D30" s="39"/>
      <c r="E30" s="39">
        <v>4.462396</v>
      </c>
      <c r="F30" s="39"/>
      <c r="G30" s="40">
        <f t="shared" si="0"/>
        <v>220.062396</v>
      </c>
      <c r="H30" s="64" t="s">
        <v>23</v>
      </c>
      <c r="I30" s="367">
        <v>1078</v>
      </c>
      <c r="J30" s="117">
        <f t="shared" si="2"/>
        <v>2000</v>
      </c>
      <c r="K30" s="252" t="s">
        <v>43</v>
      </c>
      <c r="L30" s="365">
        <v>1000</v>
      </c>
      <c r="M30" s="16" t="s">
        <v>44</v>
      </c>
      <c r="W30" s="16">
        <v>3684.49</v>
      </c>
      <c r="X30" s="16">
        <f t="shared" si="5"/>
        <v>0.368449</v>
      </c>
    </row>
    <row r="31" ht="18" customHeight="1" spans="1:24">
      <c r="A31" s="116" t="s">
        <v>73</v>
      </c>
      <c r="B31" s="81" t="s">
        <v>74</v>
      </c>
      <c r="C31" s="39">
        <v>20.5159</v>
      </c>
      <c r="D31" s="39"/>
      <c r="E31" s="39">
        <v>0.368449</v>
      </c>
      <c r="F31" s="39"/>
      <c r="G31" s="40">
        <f t="shared" si="0"/>
        <v>20.884349</v>
      </c>
      <c r="H31" s="64"/>
      <c r="I31" s="367"/>
      <c r="J31" s="117"/>
      <c r="K31" s="252"/>
      <c r="L31" s="365"/>
      <c r="W31" s="16">
        <v>9714.43</v>
      </c>
      <c r="X31" s="16">
        <f t="shared" si="5"/>
        <v>0.971443</v>
      </c>
    </row>
    <row r="32" ht="18" customHeight="1" spans="1:24">
      <c r="A32" s="116" t="s">
        <v>75</v>
      </c>
      <c r="B32" s="81" t="s">
        <v>76</v>
      </c>
      <c r="C32" s="39">
        <v>6.89</v>
      </c>
      <c r="D32" s="39"/>
      <c r="E32" s="39">
        <v>0.971443</v>
      </c>
      <c r="F32" s="39"/>
      <c r="G32" s="40">
        <f t="shared" si="0"/>
        <v>7.861443</v>
      </c>
      <c r="H32" s="64"/>
      <c r="I32" s="367"/>
      <c r="J32" s="117"/>
      <c r="K32" s="252"/>
      <c r="L32" s="365"/>
      <c r="W32" s="16">
        <v>34699.51</v>
      </c>
      <c r="X32" s="16">
        <f t="shared" si="5"/>
        <v>3.469951</v>
      </c>
    </row>
    <row r="33" ht="18" customHeight="1" spans="1:12">
      <c r="A33" s="116" t="s">
        <v>77</v>
      </c>
      <c r="B33" s="81" t="s">
        <v>78</v>
      </c>
      <c r="C33" s="39">
        <v>4.3419</v>
      </c>
      <c r="D33" s="39">
        <f>SUM(花湖一期一阶段设备表!G125:G135)</f>
        <v>155</v>
      </c>
      <c r="E33" s="39">
        <v>3.469951</v>
      </c>
      <c r="F33" s="39"/>
      <c r="G33" s="40">
        <f t="shared" si="0"/>
        <v>162.811851</v>
      </c>
      <c r="H33" s="64"/>
      <c r="I33" s="64"/>
      <c r="J33" s="117"/>
      <c r="K33" s="252"/>
      <c r="L33" s="365"/>
    </row>
    <row r="34" ht="18" customHeight="1" spans="1:12">
      <c r="A34" s="116" t="s">
        <v>79</v>
      </c>
      <c r="B34" s="81" t="s">
        <v>80</v>
      </c>
      <c r="C34" s="39"/>
      <c r="D34" s="39">
        <f>SUM(花湖一期一阶段设备表!G157)</f>
        <v>173.988</v>
      </c>
      <c r="E34" s="39">
        <v>65.668</v>
      </c>
      <c r="F34" s="39"/>
      <c r="G34" s="40">
        <f t="shared" si="0"/>
        <v>239.656</v>
      </c>
      <c r="H34" s="64"/>
      <c r="I34" s="64"/>
      <c r="J34" s="117"/>
      <c r="K34" s="252"/>
      <c r="L34" s="365"/>
    </row>
    <row r="35" ht="18" customHeight="1" spans="1:12">
      <c r="A35" s="116" t="s">
        <v>81</v>
      </c>
      <c r="B35" s="81" t="s">
        <v>82</v>
      </c>
      <c r="C35" s="39"/>
      <c r="D35" s="39">
        <f>SUM(花湖一期一阶段设备表!G183)</f>
        <v>43.44</v>
      </c>
      <c r="E35" s="240">
        <v>25.924</v>
      </c>
      <c r="F35" s="39"/>
      <c r="G35" s="40">
        <f t="shared" si="0"/>
        <v>69.364</v>
      </c>
      <c r="H35" s="64"/>
      <c r="I35" s="64"/>
      <c r="J35" s="117"/>
      <c r="K35" s="252"/>
      <c r="L35" s="365"/>
    </row>
    <row r="36" ht="18" customHeight="1" spans="1:12">
      <c r="A36" s="116" t="s">
        <v>83</v>
      </c>
      <c r="B36" s="81" t="s">
        <v>84</v>
      </c>
      <c r="C36" s="39"/>
      <c r="D36" s="39">
        <f>SUM(花湖一期一阶段设备表!G210)</f>
        <v>223.5875</v>
      </c>
      <c r="E36" s="242"/>
      <c r="F36" s="39"/>
      <c r="G36" s="40">
        <f t="shared" si="0"/>
        <v>223.5875</v>
      </c>
      <c r="H36" s="64"/>
      <c r="I36" s="64"/>
      <c r="J36" s="117"/>
      <c r="K36" s="252"/>
      <c r="L36" s="365"/>
    </row>
    <row r="37" ht="18" customHeight="1" spans="1:12">
      <c r="A37" s="116" t="s">
        <v>85</v>
      </c>
      <c r="B37" s="81" t="s">
        <v>86</v>
      </c>
      <c r="C37" s="39"/>
      <c r="D37" s="39">
        <f>SUM(花湖一期一阶段设备表!G393)</f>
        <v>14.73523</v>
      </c>
      <c r="E37" s="39"/>
      <c r="F37" s="39"/>
      <c r="G37" s="40">
        <f t="shared" si="0"/>
        <v>14.73523</v>
      </c>
      <c r="H37" s="64"/>
      <c r="I37" s="64"/>
      <c r="J37" s="117"/>
      <c r="K37" s="252"/>
      <c r="L37" s="365"/>
    </row>
    <row r="38" ht="18" customHeight="1" spans="1:12">
      <c r="A38" s="116" t="s">
        <v>87</v>
      </c>
      <c r="B38" s="81" t="s">
        <v>88</v>
      </c>
      <c r="C38" s="39"/>
      <c r="D38" s="39">
        <f>SUM(花湖一期一阶段设备表!G400)</f>
        <v>55</v>
      </c>
      <c r="E38" s="39"/>
      <c r="F38" s="39"/>
      <c r="G38" s="40">
        <f t="shared" si="0"/>
        <v>55</v>
      </c>
      <c r="H38" s="64"/>
      <c r="I38" s="64"/>
      <c r="J38" s="117"/>
      <c r="K38" s="252"/>
      <c r="L38" s="365"/>
    </row>
    <row r="39" ht="18" customHeight="1" spans="1:12">
      <c r="A39" s="116" t="s">
        <v>89</v>
      </c>
      <c r="B39" s="81" t="s">
        <v>90</v>
      </c>
      <c r="C39" s="39"/>
      <c r="D39" s="39">
        <f>SUM(D7:D38)*1%</f>
        <v>11.5012217</v>
      </c>
      <c r="E39" s="39"/>
      <c r="F39" s="39"/>
      <c r="G39" s="40">
        <f t="shared" si="0"/>
        <v>11.5012217</v>
      </c>
      <c r="H39" s="64"/>
      <c r="I39" s="64"/>
      <c r="J39" s="117"/>
      <c r="K39" s="252"/>
      <c r="L39" s="365"/>
    </row>
    <row r="40" ht="18" customHeight="1" spans="1:12">
      <c r="A40" s="28" t="s">
        <v>91</v>
      </c>
      <c r="B40" s="124" t="s">
        <v>92</v>
      </c>
      <c r="C40" s="30"/>
      <c r="D40" s="30"/>
      <c r="E40" s="30"/>
      <c r="F40" s="125">
        <f ca="1">SUM(F41:F64)</f>
        <v>2408.40462913072</v>
      </c>
      <c r="G40" s="125">
        <f ca="1">F40</f>
        <v>2408.40462913072</v>
      </c>
      <c r="H40" s="30"/>
      <c r="I40" s="30"/>
      <c r="J40" s="132"/>
      <c r="K40" s="133"/>
      <c r="L40" s="368"/>
    </row>
    <row r="41" ht="18" customHeight="1" spans="1:12">
      <c r="A41" s="299" t="s">
        <v>18</v>
      </c>
      <c r="B41" s="358" t="s">
        <v>93</v>
      </c>
      <c r="C41" s="127"/>
      <c r="D41" s="127"/>
      <c r="E41" s="127"/>
      <c r="F41" s="128">
        <f>177.1196+288.41+147.9513+957.2</f>
        <v>1570.6809</v>
      </c>
      <c r="G41" s="40">
        <f>SUM(F41)</f>
        <v>1570.6809</v>
      </c>
      <c r="H41" s="134" t="s">
        <v>94</v>
      </c>
      <c r="I41" s="127">
        <v>80.25</v>
      </c>
      <c r="J41" s="369">
        <f>F41/I41</f>
        <v>19.5723476635514</v>
      </c>
      <c r="K41" s="135"/>
      <c r="L41" s="370"/>
    </row>
    <row r="42" ht="18" customHeight="1" spans="1:12">
      <c r="A42" s="299" t="s">
        <v>40</v>
      </c>
      <c r="B42" s="358" t="s">
        <v>95</v>
      </c>
      <c r="C42" s="127"/>
      <c r="D42" s="127"/>
      <c r="E42" s="127"/>
      <c r="F42" s="65">
        <f ca="1">80+(G69-G41-5000)*1.2%</f>
        <v>95.5962617640682</v>
      </c>
      <c r="G42" s="40">
        <f ca="1">SUM(F42)</f>
        <v>95.5962617640682</v>
      </c>
      <c r="H42" s="137" t="s">
        <v>96</v>
      </c>
      <c r="I42" s="138"/>
      <c r="J42" s="138"/>
      <c r="K42" s="139"/>
      <c r="L42" s="371"/>
    </row>
    <row r="43" ht="18" customHeight="1" spans="1:12">
      <c r="A43" s="299" t="s">
        <v>45</v>
      </c>
      <c r="B43" s="358" t="s">
        <v>97</v>
      </c>
      <c r="C43" s="127"/>
      <c r="D43" s="127"/>
      <c r="E43" s="127"/>
      <c r="F43" s="127">
        <f>(G5+G53)*101.5/8000</f>
        <v>67.7624146525782</v>
      </c>
      <c r="G43" s="40">
        <f t="shared" ref="G43:G57" si="8">SUM(F43)</f>
        <v>67.7624146525782</v>
      </c>
      <c r="H43" s="137" t="s">
        <v>98</v>
      </c>
      <c r="I43" s="138"/>
      <c r="J43" s="138"/>
      <c r="K43" s="139"/>
      <c r="L43" s="371"/>
    </row>
    <row r="44" ht="18" customHeight="1" spans="1:12">
      <c r="A44" s="299" t="s">
        <v>47</v>
      </c>
      <c r="B44" s="358" t="s">
        <v>99</v>
      </c>
      <c r="C44" s="127"/>
      <c r="D44" s="127"/>
      <c r="E44" s="127"/>
      <c r="F44" s="127">
        <f ca="1">((14+28+8+10-6-12-4-5)/7000*(G69-3000)+(6+12+4+5))*0.7*1.2*0.8</f>
        <v>33.573330196914</v>
      </c>
      <c r="G44" s="40">
        <f ca="1" t="shared" si="8"/>
        <v>33.573330196914</v>
      </c>
      <c r="H44" s="137" t="s">
        <v>100</v>
      </c>
      <c r="I44" s="138"/>
      <c r="J44" s="138"/>
      <c r="K44" s="139"/>
      <c r="L44" s="371"/>
    </row>
    <row r="45" ht="18" customHeight="1" spans="1:12">
      <c r="A45" s="299" t="s">
        <v>51</v>
      </c>
      <c r="B45" s="358" t="s">
        <v>101</v>
      </c>
      <c r="C45" s="127"/>
      <c r="D45" s="127"/>
      <c r="E45" s="127"/>
      <c r="F45" s="127">
        <f>G5*1.1%</f>
        <v>58.6219011257</v>
      </c>
      <c r="G45" s="40">
        <f t="shared" si="8"/>
        <v>58.6219011257</v>
      </c>
      <c r="H45" s="137" t="s">
        <v>102</v>
      </c>
      <c r="I45" s="138"/>
      <c r="J45" s="138"/>
      <c r="K45" s="139"/>
      <c r="L45" s="371"/>
    </row>
    <row r="46" ht="18" customHeight="1" spans="1:12">
      <c r="A46" s="299" t="s">
        <v>53</v>
      </c>
      <c r="B46" s="358" t="s">
        <v>103</v>
      </c>
      <c r="C46" s="127"/>
      <c r="D46" s="127"/>
      <c r="E46" s="127"/>
      <c r="F46" s="127">
        <v>161.12</v>
      </c>
      <c r="G46" s="40">
        <f t="shared" si="8"/>
        <v>161.12</v>
      </c>
      <c r="H46" s="164" t="s">
        <v>104</v>
      </c>
      <c r="I46" s="165"/>
      <c r="J46" s="165"/>
      <c r="K46" s="166"/>
      <c r="L46" s="372"/>
    </row>
    <row r="47" ht="18" customHeight="1" spans="1:12">
      <c r="A47" s="299" t="s">
        <v>55</v>
      </c>
      <c r="B47" s="358" t="s">
        <v>105</v>
      </c>
      <c r="C47" s="127"/>
      <c r="D47" s="127"/>
      <c r="E47" s="127"/>
      <c r="F47" s="127"/>
      <c r="G47" s="40">
        <f t="shared" si="8"/>
        <v>0</v>
      </c>
      <c r="H47" s="359"/>
      <c r="I47" s="373"/>
      <c r="J47" s="373"/>
      <c r="K47" s="374"/>
      <c r="L47" s="371"/>
    </row>
    <row r="48" ht="18" customHeight="1" spans="1:12">
      <c r="A48" s="299"/>
      <c r="B48" s="360" t="s">
        <v>106</v>
      </c>
      <c r="C48" s="127"/>
      <c r="D48" s="127"/>
      <c r="E48" s="127"/>
      <c r="F48" s="127">
        <f>F46*10%</f>
        <v>16.112</v>
      </c>
      <c r="G48" s="40">
        <f t="shared" si="8"/>
        <v>16.112</v>
      </c>
      <c r="H48" s="137" t="s">
        <v>107</v>
      </c>
      <c r="I48" s="138"/>
      <c r="J48" s="138"/>
      <c r="K48" s="139"/>
      <c r="L48" s="371"/>
    </row>
    <row r="49" ht="18" customHeight="1" spans="1:12">
      <c r="A49" s="299" t="s">
        <v>59</v>
      </c>
      <c r="B49" s="358" t="s">
        <v>108</v>
      </c>
      <c r="C49" s="127"/>
      <c r="D49" s="127"/>
      <c r="E49" s="127"/>
      <c r="F49" s="127">
        <f ca="1">((15+4+3+1.5-6-2-1.5-0.8)/17000*(G69-3000)+(6+2+1.5+0.8))*1*1.2*0.8</f>
        <v>13.518430634568</v>
      </c>
      <c r="G49" s="40">
        <f ca="1" t="shared" si="8"/>
        <v>13.518430634568</v>
      </c>
      <c r="H49" s="137" t="s">
        <v>109</v>
      </c>
      <c r="I49" s="138"/>
      <c r="J49" s="138"/>
      <c r="K49" s="139"/>
      <c r="L49" s="371"/>
    </row>
    <row r="50" ht="18" customHeight="1" spans="1:12">
      <c r="A50" s="299" t="s">
        <v>61</v>
      </c>
      <c r="B50" s="358" t="s">
        <v>110</v>
      </c>
      <c r="C50" s="127"/>
      <c r="D50" s="127"/>
      <c r="E50" s="127"/>
      <c r="F50" s="127">
        <f>G5*1%</f>
        <v>53.292637387</v>
      </c>
      <c r="G50" s="40">
        <f t="shared" si="8"/>
        <v>53.292637387</v>
      </c>
      <c r="H50" s="140" t="s">
        <v>111</v>
      </c>
      <c r="I50" s="141"/>
      <c r="J50" s="141"/>
      <c r="K50" s="142"/>
      <c r="L50" s="375"/>
    </row>
    <row r="51" ht="18" customHeight="1" spans="1:12">
      <c r="A51" s="299" t="s">
        <v>63</v>
      </c>
      <c r="B51" s="358" t="s">
        <v>112</v>
      </c>
      <c r="C51" s="127"/>
      <c r="D51" s="127"/>
      <c r="E51" s="127"/>
      <c r="F51" s="127">
        <f>32*0.6*0.3*6</f>
        <v>34.56</v>
      </c>
      <c r="G51" s="40">
        <f t="shared" si="8"/>
        <v>34.56</v>
      </c>
      <c r="H51" s="140" t="s">
        <v>113</v>
      </c>
      <c r="I51" s="141"/>
      <c r="J51" s="141"/>
      <c r="K51" s="142"/>
      <c r="L51" s="375"/>
    </row>
    <row r="52" ht="18" customHeight="1" spans="1:12">
      <c r="A52" s="299" t="s">
        <v>65</v>
      </c>
      <c r="B52" s="358" t="s">
        <v>114</v>
      </c>
      <c r="C52" s="127"/>
      <c r="D52" s="127"/>
      <c r="E52" s="127"/>
      <c r="F52" s="127">
        <f>32*0.2</f>
        <v>6.4</v>
      </c>
      <c r="G52" s="40">
        <f t="shared" si="8"/>
        <v>6.4</v>
      </c>
      <c r="H52" s="140" t="s">
        <v>115</v>
      </c>
      <c r="I52" s="141"/>
      <c r="J52" s="141"/>
      <c r="K52" s="142"/>
      <c r="L52" s="375"/>
    </row>
    <row r="53" ht="18" customHeight="1" spans="1:12">
      <c r="A53" s="299" t="s">
        <v>67</v>
      </c>
      <c r="B53" s="358" t="s">
        <v>116</v>
      </c>
      <c r="C53" s="127"/>
      <c r="D53" s="127"/>
      <c r="E53" s="127"/>
      <c r="F53" s="127">
        <f>D5*1%</f>
        <v>11.616233917</v>
      </c>
      <c r="G53" s="40">
        <f t="shared" si="8"/>
        <v>11.616233917</v>
      </c>
      <c r="H53" s="137" t="s">
        <v>117</v>
      </c>
      <c r="I53" s="138"/>
      <c r="J53" s="138"/>
      <c r="K53" s="139"/>
      <c r="L53" s="371"/>
    </row>
    <row r="54" ht="18" customHeight="1" spans="1:12">
      <c r="A54" s="299" t="s">
        <v>69</v>
      </c>
      <c r="B54" s="358" t="s">
        <v>118</v>
      </c>
      <c r="C54" s="127"/>
      <c r="D54" s="127"/>
      <c r="E54" s="127"/>
      <c r="F54" s="127">
        <f>(500*1.2%+2500*0.9%+3000*0.75%+(G5-5000)*0.6%)*0.8</f>
        <v>42.38046594576</v>
      </c>
      <c r="G54" s="40">
        <f t="shared" si="8"/>
        <v>42.38046594576</v>
      </c>
      <c r="H54" s="137" t="s">
        <v>119</v>
      </c>
      <c r="I54" s="138"/>
      <c r="J54" s="138"/>
      <c r="K54" s="139"/>
      <c r="L54" s="371"/>
    </row>
    <row r="55" ht="18" customHeight="1" spans="1:12">
      <c r="A55" s="299" t="s">
        <v>71</v>
      </c>
      <c r="B55" s="358" t="s">
        <v>120</v>
      </c>
      <c r="C55" s="127"/>
      <c r="D55" s="127"/>
      <c r="E55" s="127"/>
      <c r="F55" s="127">
        <v>4.47</v>
      </c>
      <c r="G55" s="40">
        <f t="shared" si="8"/>
        <v>4.47</v>
      </c>
      <c r="H55" s="137" t="s">
        <v>121</v>
      </c>
      <c r="I55" s="138"/>
      <c r="J55" s="138"/>
      <c r="K55" s="139"/>
      <c r="L55" s="371"/>
    </row>
    <row r="56" ht="18" customHeight="1" spans="1:12">
      <c r="A56" s="299" t="s">
        <v>73</v>
      </c>
      <c r="B56" s="126" t="s">
        <v>122</v>
      </c>
      <c r="C56" s="127"/>
      <c r="D56" s="127"/>
      <c r="E56" s="127"/>
      <c r="F56" s="127">
        <v>1</v>
      </c>
      <c r="G56" s="40">
        <f t="shared" si="8"/>
        <v>1</v>
      </c>
      <c r="H56" s="137" t="s">
        <v>123</v>
      </c>
      <c r="I56" s="138"/>
      <c r="J56" s="138"/>
      <c r="K56" s="139"/>
      <c r="L56" s="371"/>
    </row>
    <row r="57" ht="18" customHeight="1" spans="1:12">
      <c r="A57" s="299" t="s">
        <v>75</v>
      </c>
      <c r="B57" s="358" t="s">
        <v>124</v>
      </c>
      <c r="C57" s="127"/>
      <c r="D57" s="127"/>
      <c r="E57" s="127"/>
      <c r="F57" s="127">
        <v>10</v>
      </c>
      <c r="G57" s="40">
        <f t="shared" si="8"/>
        <v>10</v>
      </c>
      <c r="H57" s="164" t="s">
        <v>125</v>
      </c>
      <c r="I57" s="165"/>
      <c r="J57" s="165"/>
      <c r="K57" s="166"/>
      <c r="L57" s="371"/>
    </row>
    <row r="58" ht="18" customHeight="1" spans="1:12">
      <c r="A58" s="299" t="s">
        <v>77</v>
      </c>
      <c r="B58" s="358" t="s">
        <v>126</v>
      </c>
      <c r="C58" s="127"/>
      <c r="D58" s="127"/>
      <c r="E58" s="127"/>
      <c r="F58" s="127">
        <f>80.25*666.67*2/10000+20</f>
        <v>30.7000535</v>
      </c>
      <c r="G58" s="40">
        <f>F58</f>
        <v>30.7000535</v>
      </c>
      <c r="H58" s="137" t="s">
        <v>127</v>
      </c>
      <c r="I58" s="138"/>
      <c r="J58" s="138"/>
      <c r="K58" s="139"/>
      <c r="L58" s="371"/>
    </row>
    <row r="59" ht="18" customHeight="1" spans="1:12">
      <c r="A59" s="299" t="s">
        <v>79</v>
      </c>
      <c r="B59" s="81" t="s">
        <v>128</v>
      </c>
      <c r="C59" s="127"/>
      <c r="D59" s="127"/>
      <c r="E59" s="127"/>
      <c r="F59" s="127">
        <v>97</v>
      </c>
      <c r="G59" s="40">
        <f t="shared" ref="G59:G63" si="9">F59</f>
        <v>97</v>
      </c>
      <c r="H59" s="164" t="s">
        <v>125</v>
      </c>
      <c r="I59" s="165"/>
      <c r="J59" s="165"/>
      <c r="K59" s="166"/>
      <c r="L59" s="371"/>
    </row>
    <row r="60" ht="18" customHeight="1" spans="1:12">
      <c r="A60" s="299" t="s">
        <v>81</v>
      </c>
      <c r="B60" s="81" t="s">
        <v>129</v>
      </c>
      <c r="C60" s="127"/>
      <c r="D60" s="127"/>
      <c r="E60" s="127"/>
      <c r="F60" s="127">
        <v>35</v>
      </c>
      <c r="G60" s="40">
        <f t="shared" si="9"/>
        <v>35</v>
      </c>
      <c r="H60" s="164" t="s">
        <v>125</v>
      </c>
      <c r="I60" s="165"/>
      <c r="J60" s="165"/>
      <c r="K60" s="166"/>
      <c r="L60" s="371"/>
    </row>
    <row r="61" ht="18" customHeight="1" spans="1:12">
      <c r="A61" s="299" t="s">
        <v>83</v>
      </c>
      <c r="B61" s="81" t="s">
        <v>130</v>
      </c>
      <c r="C61" s="127"/>
      <c r="D61" s="127"/>
      <c r="E61" s="127"/>
      <c r="F61" s="127">
        <v>30</v>
      </c>
      <c r="G61" s="40">
        <f t="shared" si="9"/>
        <v>30</v>
      </c>
      <c r="H61" s="164" t="s">
        <v>125</v>
      </c>
      <c r="I61" s="165"/>
      <c r="J61" s="165"/>
      <c r="K61" s="166"/>
      <c r="L61" s="371"/>
    </row>
    <row r="62" ht="18" customHeight="1" spans="1:12">
      <c r="A62" s="299" t="s">
        <v>85</v>
      </c>
      <c r="B62" s="81" t="s">
        <v>131</v>
      </c>
      <c r="C62" s="127"/>
      <c r="D62" s="127"/>
      <c r="E62" s="127"/>
      <c r="F62" s="127">
        <v>18</v>
      </c>
      <c r="G62" s="40">
        <f t="shared" si="9"/>
        <v>18</v>
      </c>
      <c r="H62" s="164" t="s">
        <v>125</v>
      </c>
      <c r="I62" s="165"/>
      <c r="J62" s="165"/>
      <c r="K62" s="166"/>
      <c r="L62" s="371"/>
    </row>
    <row r="63" ht="18" customHeight="1" spans="1:12">
      <c r="A63" s="299" t="s">
        <v>87</v>
      </c>
      <c r="B63" s="81" t="s">
        <v>132</v>
      </c>
      <c r="C63" s="127"/>
      <c r="D63" s="127"/>
      <c r="E63" s="127"/>
      <c r="F63" s="127">
        <v>15</v>
      </c>
      <c r="G63" s="40">
        <f t="shared" si="9"/>
        <v>15</v>
      </c>
      <c r="H63" s="164" t="s">
        <v>125</v>
      </c>
      <c r="I63" s="165"/>
      <c r="J63" s="165"/>
      <c r="K63" s="166"/>
      <c r="L63" s="371"/>
    </row>
    <row r="64" ht="18" customHeight="1" spans="1:12">
      <c r="A64" s="299" t="s">
        <v>89</v>
      </c>
      <c r="B64" s="81" t="s">
        <v>133</v>
      </c>
      <c r="C64" s="127"/>
      <c r="D64" s="127"/>
      <c r="E64" s="127"/>
      <c r="F64" s="127">
        <v>2</v>
      </c>
      <c r="G64" s="40">
        <v>2</v>
      </c>
      <c r="H64" s="164" t="s">
        <v>125</v>
      </c>
      <c r="I64" s="165"/>
      <c r="J64" s="165"/>
      <c r="K64" s="166"/>
      <c r="L64" s="371"/>
    </row>
    <row r="65" ht="18" customHeight="1" spans="1:12">
      <c r="A65" s="143" t="s">
        <v>134</v>
      </c>
      <c r="B65" s="377" t="s">
        <v>135</v>
      </c>
      <c r="C65" s="145"/>
      <c r="D65" s="145"/>
      <c r="E65" s="145"/>
      <c r="F65" s="304"/>
      <c r="G65" s="146">
        <f>F65</f>
        <v>0</v>
      </c>
      <c r="H65" s="138"/>
      <c r="I65" s="138"/>
      <c r="J65" s="138"/>
      <c r="K65" s="139"/>
      <c r="L65" s="371"/>
    </row>
    <row r="66" ht="18" customHeight="1" spans="1:12">
      <c r="A66" s="143" t="s">
        <v>136</v>
      </c>
      <c r="B66" s="377" t="s">
        <v>137</v>
      </c>
      <c r="C66" s="145"/>
      <c r="D66" s="145"/>
      <c r="E66" s="145"/>
      <c r="F66" s="136"/>
      <c r="G66" s="146">
        <f ca="1">G5+G40+G65</f>
        <v>7737.66836783072</v>
      </c>
      <c r="H66" s="138"/>
      <c r="I66" s="138"/>
      <c r="J66" s="138"/>
      <c r="K66" s="139"/>
      <c r="L66" s="371"/>
    </row>
    <row r="67" ht="18" customHeight="1" spans="1:12">
      <c r="A67" s="143" t="s">
        <v>138</v>
      </c>
      <c r="B67" s="377" t="s">
        <v>139</v>
      </c>
      <c r="C67" s="145"/>
      <c r="D67" s="145"/>
      <c r="E67" s="145"/>
      <c r="F67" s="304">
        <f ca="1">G66*0.5*0.7*4.9%</f>
        <v>132.701012508297</v>
      </c>
      <c r="G67" s="146">
        <f ca="1">F67</f>
        <v>132.701012508297</v>
      </c>
      <c r="H67" s="138"/>
      <c r="I67" s="138"/>
      <c r="J67" s="138"/>
      <c r="K67" s="139"/>
      <c r="L67" s="371"/>
    </row>
    <row r="68" ht="18" customHeight="1" spans="1:12">
      <c r="A68" s="147" t="s">
        <v>140</v>
      </c>
      <c r="B68" s="378" t="s">
        <v>141</v>
      </c>
      <c r="C68" s="149"/>
      <c r="D68" s="149"/>
      <c r="E68" s="149"/>
      <c r="F68" s="136"/>
      <c r="G68" s="146">
        <f>SUM(F68)</f>
        <v>0</v>
      </c>
      <c r="H68" s="138"/>
      <c r="I68" s="138"/>
      <c r="J68" s="138"/>
      <c r="K68" s="139"/>
      <c r="L68" s="371"/>
    </row>
    <row r="69" ht="18" customHeight="1" spans="1:12">
      <c r="A69" s="150" t="s">
        <v>142</v>
      </c>
      <c r="B69" s="379" t="s">
        <v>143</v>
      </c>
      <c r="C69" s="152"/>
      <c r="D69" s="152"/>
      <c r="E69" s="152"/>
      <c r="F69" s="152"/>
      <c r="G69" s="152">
        <f ca="1">SUM(G66:G68)</f>
        <v>7870.36938033902</v>
      </c>
      <c r="H69" s="152"/>
      <c r="I69" s="152"/>
      <c r="J69" s="152"/>
      <c r="K69" s="167"/>
      <c r="L69" s="380"/>
    </row>
    <row r="70" customHeight="1" spans="2:2">
      <c r="B70" s="156"/>
    </row>
    <row r="72" customHeight="1" spans="7:7">
      <c r="G72" s="15"/>
    </row>
    <row r="75" customHeight="1" spans="7:7">
      <c r="G75" s="158"/>
    </row>
    <row r="76" customHeight="1" spans="7:8">
      <c r="G76" s="168"/>
      <c r="H76" s="168"/>
    </row>
    <row r="77" customHeight="1" spans="6:8">
      <c r="F77" s="160"/>
      <c r="G77" s="15"/>
      <c r="H77" s="15"/>
    </row>
    <row r="78" customHeight="1" spans="6:8">
      <c r="F78" s="160"/>
      <c r="G78" s="15"/>
      <c r="H78" s="15"/>
    </row>
    <row r="79" customHeight="1" spans="6:8">
      <c r="F79" s="160"/>
      <c r="G79" s="15"/>
      <c r="H79" s="15"/>
    </row>
    <row r="80" customHeight="1" spans="6:8">
      <c r="F80" s="160"/>
      <c r="G80" s="15"/>
      <c r="H80" s="15"/>
    </row>
    <row r="81" customHeight="1" spans="6:8">
      <c r="F81" s="160"/>
      <c r="G81" s="15"/>
      <c r="H81" s="15"/>
    </row>
    <row r="82" customHeight="1" spans="6:8">
      <c r="F82" s="160"/>
      <c r="G82" s="15"/>
      <c r="H82" s="15"/>
    </row>
    <row r="83" customHeight="1" spans="8:8">
      <c r="H83" s="15"/>
    </row>
  </sheetData>
  <mergeCells count="38">
    <mergeCell ref="A2:K2"/>
    <mergeCell ref="C3:G3"/>
    <mergeCell ref="H42:K42"/>
    <mergeCell ref="H43:K43"/>
    <mergeCell ref="H44:K44"/>
    <mergeCell ref="H45:K45"/>
    <mergeCell ref="H46:K46"/>
    <mergeCell ref="H47:K47"/>
    <mergeCell ref="H48:K48"/>
    <mergeCell ref="H49:K49"/>
    <mergeCell ref="H50:K50"/>
    <mergeCell ref="H51:K51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H64:K64"/>
    <mergeCell ref="H65:K65"/>
    <mergeCell ref="H66:K66"/>
    <mergeCell ref="H67:K67"/>
    <mergeCell ref="H68:K68"/>
    <mergeCell ref="H69:K69"/>
    <mergeCell ref="A3:A4"/>
    <mergeCell ref="B3:B4"/>
    <mergeCell ref="D24:D25"/>
    <mergeCell ref="E35:E36"/>
    <mergeCell ref="H3:H4"/>
    <mergeCell ref="I3:I4"/>
    <mergeCell ref="J3:J4"/>
    <mergeCell ref="K3:K4"/>
  </mergeCells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8"/>
  <sheetViews>
    <sheetView topLeftCell="A139" workbookViewId="0">
      <selection activeCell="F7" sqref="F7"/>
    </sheetView>
  </sheetViews>
  <sheetFormatPr defaultColWidth="11" defaultRowHeight="14.25" outlineLevelCol="7"/>
  <cols>
    <col min="1" max="1" width="6" style="307" customWidth="1"/>
    <col min="2" max="2" width="26.75" style="307" customWidth="1"/>
    <col min="3" max="3" width="50.75" style="307" customWidth="1"/>
    <col min="4" max="4" width="6.625" style="307" customWidth="1"/>
    <col min="5" max="5" width="8.75" style="307" customWidth="1"/>
    <col min="6" max="7" width="8.75" style="308" customWidth="1"/>
    <col min="8" max="8" width="20.625" style="309" customWidth="1"/>
    <col min="9" max="16384" width="11" style="310"/>
  </cols>
  <sheetData>
    <row r="1" ht="27" customHeight="1" spans="1:8">
      <c r="A1" s="311" t="s">
        <v>144</v>
      </c>
      <c r="B1" s="312"/>
      <c r="C1" s="312"/>
      <c r="D1" s="312"/>
      <c r="E1" s="312"/>
      <c r="F1" s="312"/>
      <c r="G1" s="312"/>
      <c r="H1" s="312"/>
    </row>
    <row r="2" ht="27" customHeight="1" spans="1:8">
      <c r="A2" s="311"/>
      <c r="B2" s="312"/>
      <c r="C2" s="312"/>
      <c r="D2" s="312"/>
      <c r="E2" s="312"/>
      <c r="F2" s="312"/>
      <c r="G2" s="312"/>
      <c r="H2" s="312"/>
    </row>
    <row r="3" ht="27" customHeight="1" spans="1:8">
      <c r="A3" s="313" t="s">
        <v>2</v>
      </c>
      <c r="B3" s="314" t="s">
        <v>145</v>
      </c>
      <c r="C3" s="315" t="s">
        <v>146</v>
      </c>
      <c r="D3" s="312"/>
      <c r="E3" s="312"/>
      <c r="F3" s="312"/>
      <c r="G3" s="312"/>
      <c r="H3" s="312"/>
    </row>
    <row r="4" ht="27" customHeight="1" spans="1:8">
      <c r="A4" s="316">
        <v>1</v>
      </c>
      <c r="B4" s="317" t="s">
        <v>147</v>
      </c>
      <c r="C4" s="318">
        <f>SUM(G136)</f>
        <v>639.37144</v>
      </c>
      <c r="D4" s="312"/>
      <c r="E4" s="312"/>
      <c r="F4" s="312"/>
      <c r="G4" s="312"/>
      <c r="H4" s="312"/>
    </row>
    <row r="5" ht="27" customHeight="1" spans="1:8">
      <c r="A5" s="316">
        <v>2</v>
      </c>
      <c r="B5" s="317" t="s">
        <v>80</v>
      </c>
      <c r="C5" s="318">
        <f>SUM(G157)</f>
        <v>173.988</v>
      </c>
      <c r="D5" s="312"/>
      <c r="E5" s="312"/>
      <c r="F5" s="312"/>
      <c r="G5" s="312"/>
      <c r="H5" s="312"/>
    </row>
    <row r="6" ht="27" customHeight="1" spans="1:8">
      <c r="A6" s="316">
        <v>3</v>
      </c>
      <c r="B6" s="317" t="s">
        <v>82</v>
      </c>
      <c r="C6" s="318">
        <f>SUM(G183)</f>
        <v>43.44</v>
      </c>
      <c r="D6" s="312"/>
      <c r="E6" s="312"/>
      <c r="F6" s="312"/>
      <c r="G6" s="312"/>
      <c r="H6" s="312"/>
    </row>
    <row r="7" ht="27" customHeight="1" spans="1:8">
      <c r="A7" s="316">
        <v>4</v>
      </c>
      <c r="B7" s="317" t="s">
        <v>84</v>
      </c>
      <c r="C7" s="318">
        <f>SUM(G210)</f>
        <v>223.5875</v>
      </c>
      <c r="D7" s="312"/>
      <c r="E7" s="312"/>
      <c r="F7" s="312"/>
      <c r="G7" s="312"/>
      <c r="H7" s="312"/>
    </row>
    <row r="8" ht="27" customHeight="1" spans="1:8">
      <c r="A8" s="316">
        <v>5</v>
      </c>
      <c r="B8" s="317" t="s">
        <v>86</v>
      </c>
      <c r="C8" s="318">
        <f>SUM(G393)</f>
        <v>14.73523</v>
      </c>
      <c r="D8" s="312"/>
      <c r="E8" s="312"/>
      <c r="F8" s="312"/>
      <c r="G8" s="312"/>
      <c r="H8" s="312"/>
    </row>
    <row r="9" ht="27" customHeight="1" spans="1:8">
      <c r="A9" s="316">
        <v>6</v>
      </c>
      <c r="B9" s="317" t="s">
        <v>148</v>
      </c>
      <c r="C9" s="318">
        <f>SUM(G400)</f>
        <v>55</v>
      </c>
      <c r="D9" s="312"/>
      <c r="E9" s="312"/>
      <c r="F9" s="312"/>
      <c r="G9" s="312"/>
      <c r="H9" s="312"/>
    </row>
    <row r="10" ht="27" customHeight="1" spans="1:8">
      <c r="A10" s="319" t="s">
        <v>149</v>
      </c>
      <c r="B10" s="320"/>
      <c r="C10" s="321">
        <f>SUM(C4:C9)</f>
        <v>1150.12217</v>
      </c>
      <c r="D10" s="312"/>
      <c r="E10" s="312"/>
      <c r="F10" s="312"/>
      <c r="G10" s="312"/>
      <c r="H10" s="312"/>
    </row>
    <row r="11" ht="27" customHeight="1" spans="1:8">
      <c r="A11" s="311"/>
      <c r="B11" s="312"/>
      <c r="C11" s="312"/>
      <c r="D11" s="312"/>
      <c r="E11" s="312"/>
      <c r="F11" s="312"/>
      <c r="G11" s="312"/>
      <c r="H11" s="312"/>
    </row>
    <row r="12" ht="27" customHeight="1" spans="1:8">
      <c r="A12" s="311"/>
      <c r="B12" s="312"/>
      <c r="C12" s="312"/>
      <c r="D12" s="312"/>
      <c r="E12" s="312"/>
      <c r="F12" s="312"/>
      <c r="G12" s="312"/>
      <c r="H12" s="312"/>
    </row>
    <row r="13" ht="22.5" customHeight="1" spans="1:8">
      <c r="A13" s="322" t="s">
        <v>147</v>
      </c>
      <c r="B13" s="323"/>
      <c r="C13" s="323"/>
      <c r="D13" s="323"/>
      <c r="E13" s="323"/>
      <c r="F13" s="323"/>
      <c r="G13" s="323"/>
      <c r="H13" s="323"/>
    </row>
    <row r="14" ht="33.75" customHeight="1" spans="1:8">
      <c r="A14" s="324" t="s">
        <v>150</v>
      </c>
      <c r="B14" s="325" t="s">
        <v>151</v>
      </c>
      <c r="C14" s="326" t="s">
        <v>152</v>
      </c>
      <c r="D14" s="326" t="s">
        <v>153</v>
      </c>
      <c r="E14" s="326" t="s">
        <v>154</v>
      </c>
      <c r="F14" s="327" t="s">
        <v>155</v>
      </c>
      <c r="G14" s="327" t="s">
        <v>156</v>
      </c>
      <c r="H14" s="328" t="s">
        <v>157</v>
      </c>
    </row>
    <row r="15" ht="18.75" customHeight="1" spans="1:8">
      <c r="A15" s="329" t="s">
        <v>158</v>
      </c>
      <c r="B15" s="330"/>
      <c r="C15" s="330"/>
      <c r="D15" s="330"/>
      <c r="E15" s="330"/>
      <c r="F15" s="330"/>
      <c r="G15" s="330"/>
      <c r="H15" s="331"/>
    </row>
    <row r="16" ht="24.75" spans="1:8">
      <c r="A16" s="329">
        <v>1</v>
      </c>
      <c r="B16" s="330" t="s">
        <v>159</v>
      </c>
      <c r="C16" s="330" t="s">
        <v>160</v>
      </c>
      <c r="D16" s="330" t="s">
        <v>161</v>
      </c>
      <c r="E16" s="330">
        <v>2</v>
      </c>
      <c r="F16" s="332">
        <v>1.8792</v>
      </c>
      <c r="G16" s="332">
        <f>E16*F16</f>
        <v>3.7584</v>
      </c>
      <c r="H16" s="331" t="s">
        <v>162</v>
      </c>
    </row>
    <row r="17" ht="24.75" spans="1:8">
      <c r="A17" s="329">
        <v>2</v>
      </c>
      <c r="B17" s="330" t="s">
        <v>163</v>
      </c>
      <c r="C17" s="330" t="s">
        <v>160</v>
      </c>
      <c r="D17" s="330" t="s">
        <v>161</v>
      </c>
      <c r="E17" s="330">
        <v>2</v>
      </c>
      <c r="F17" s="332">
        <v>1.8792</v>
      </c>
      <c r="G17" s="332">
        <f t="shared" ref="G17:G59" si="0">E17*F17</f>
        <v>3.7584</v>
      </c>
      <c r="H17" s="331" t="s">
        <v>162</v>
      </c>
    </row>
    <row r="18" ht="21" customHeight="1" spans="1:8">
      <c r="A18" s="329">
        <v>3</v>
      </c>
      <c r="B18" s="330" t="s">
        <v>164</v>
      </c>
      <c r="C18" s="330" t="s">
        <v>165</v>
      </c>
      <c r="D18" s="330" t="s">
        <v>161</v>
      </c>
      <c r="E18" s="330">
        <v>1</v>
      </c>
      <c r="F18" s="332">
        <v>2.088</v>
      </c>
      <c r="G18" s="332">
        <f t="shared" si="0"/>
        <v>2.088</v>
      </c>
      <c r="H18" s="331" t="s">
        <v>162</v>
      </c>
    </row>
    <row r="19" ht="37.5" spans="1:8">
      <c r="A19" s="329">
        <v>4</v>
      </c>
      <c r="B19" s="330" t="s">
        <v>166</v>
      </c>
      <c r="C19" s="330" t="s">
        <v>167</v>
      </c>
      <c r="D19" s="330" t="s">
        <v>161</v>
      </c>
      <c r="E19" s="330">
        <v>1</v>
      </c>
      <c r="F19" s="332">
        <v>9.976</v>
      </c>
      <c r="G19" s="332">
        <f t="shared" si="0"/>
        <v>9.976</v>
      </c>
      <c r="H19" s="331"/>
    </row>
    <row r="20" ht="21" customHeight="1" spans="1:8">
      <c r="A20" s="329">
        <v>5</v>
      </c>
      <c r="B20" s="330" t="s">
        <v>168</v>
      </c>
      <c r="C20" s="330" t="s">
        <v>169</v>
      </c>
      <c r="D20" s="330" t="s">
        <v>170</v>
      </c>
      <c r="E20" s="330">
        <v>1</v>
      </c>
      <c r="F20" s="332">
        <v>0</v>
      </c>
      <c r="G20" s="332">
        <f t="shared" si="0"/>
        <v>0</v>
      </c>
      <c r="H20" s="331" t="s">
        <v>171</v>
      </c>
    </row>
    <row r="21" ht="21" customHeight="1" spans="1:8">
      <c r="A21" s="329">
        <v>6</v>
      </c>
      <c r="B21" s="330" t="s">
        <v>172</v>
      </c>
      <c r="C21" s="330" t="s">
        <v>173</v>
      </c>
      <c r="D21" s="330" t="s">
        <v>161</v>
      </c>
      <c r="E21" s="330">
        <v>1</v>
      </c>
      <c r="F21" s="332">
        <v>4.408</v>
      </c>
      <c r="G21" s="332">
        <f t="shared" si="0"/>
        <v>4.408</v>
      </c>
      <c r="H21" s="331"/>
    </row>
    <row r="22" ht="24.75" spans="1:8">
      <c r="A22" s="329">
        <v>7</v>
      </c>
      <c r="B22" s="330" t="s">
        <v>174</v>
      </c>
      <c r="C22" s="330" t="s">
        <v>175</v>
      </c>
      <c r="D22" s="330" t="s">
        <v>161</v>
      </c>
      <c r="E22" s="330">
        <v>1</v>
      </c>
      <c r="F22" s="332">
        <v>1.74</v>
      </c>
      <c r="G22" s="332">
        <f t="shared" si="0"/>
        <v>1.74</v>
      </c>
      <c r="H22" s="331"/>
    </row>
    <row r="23" ht="21" customHeight="1" spans="1:8">
      <c r="A23" s="329">
        <v>8</v>
      </c>
      <c r="B23" s="330" t="s">
        <v>176</v>
      </c>
      <c r="C23" s="330" t="s">
        <v>177</v>
      </c>
      <c r="D23" s="330" t="s">
        <v>161</v>
      </c>
      <c r="E23" s="330">
        <v>2</v>
      </c>
      <c r="F23" s="332">
        <v>6.4</v>
      </c>
      <c r="G23" s="332">
        <f t="shared" si="0"/>
        <v>12.8</v>
      </c>
      <c r="H23" s="331"/>
    </row>
    <row r="24" ht="21" customHeight="1" spans="1:8">
      <c r="A24" s="329">
        <v>9</v>
      </c>
      <c r="B24" s="330" t="s">
        <v>178</v>
      </c>
      <c r="C24" s="330" t="s">
        <v>179</v>
      </c>
      <c r="D24" s="330" t="s">
        <v>170</v>
      </c>
      <c r="E24" s="330">
        <v>1</v>
      </c>
      <c r="F24" s="332">
        <v>0.58</v>
      </c>
      <c r="G24" s="332">
        <f t="shared" si="0"/>
        <v>0.58</v>
      </c>
      <c r="H24" s="331" t="s">
        <v>180</v>
      </c>
    </row>
    <row r="25" ht="21" customHeight="1" spans="1:8">
      <c r="A25" s="329" t="s">
        <v>181</v>
      </c>
      <c r="B25" s="330"/>
      <c r="C25" s="330"/>
      <c r="D25" s="330"/>
      <c r="E25" s="330"/>
      <c r="F25" s="332"/>
      <c r="G25" s="330"/>
      <c r="H25" s="331"/>
    </row>
    <row r="26" ht="21" customHeight="1" spans="1:8">
      <c r="A26" s="329">
        <v>1</v>
      </c>
      <c r="B26" s="330" t="s">
        <v>182</v>
      </c>
      <c r="C26" s="330" t="s">
        <v>183</v>
      </c>
      <c r="D26" s="330" t="s">
        <v>161</v>
      </c>
      <c r="E26" s="330">
        <v>1</v>
      </c>
      <c r="F26" s="332">
        <v>7.656</v>
      </c>
      <c r="G26" s="332">
        <f t="shared" si="0"/>
        <v>7.656</v>
      </c>
      <c r="H26" s="331"/>
    </row>
    <row r="27" ht="21" customHeight="1" spans="1:8">
      <c r="A27" s="329">
        <v>2</v>
      </c>
      <c r="B27" s="330" t="s">
        <v>184</v>
      </c>
      <c r="C27" s="330" t="s">
        <v>185</v>
      </c>
      <c r="D27" s="330" t="s">
        <v>161</v>
      </c>
      <c r="E27" s="330">
        <v>1</v>
      </c>
      <c r="F27" s="332">
        <v>4.64</v>
      </c>
      <c r="G27" s="332">
        <f t="shared" si="0"/>
        <v>4.64</v>
      </c>
      <c r="H27" s="331"/>
    </row>
    <row r="28" ht="25.5" spans="1:8">
      <c r="A28" s="329">
        <v>3</v>
      </c>
      <c r="B28" s="330" t="s">
        <v>186</v>
      </c>
      <c r="C28" s="330" t="s">
        <v>187</v>
      </c>
      <c r="D28" s="330" t="s">
        <v>161</v>
      </c>
      <c r="E28" s="330">
        <v>1</v>
      </c>
      <c r="F28" s="332">
        <v>12.136</v>
      </c>
      <c r="G28" s="332">
        <f t="shared" si="0"/>
        <v>12.136</v>
      </c>
      <c r="H28" s="331"/>
    </row>
    <row r="29" ht="25.5" spans="1:8">
      <c r="A29" s="329">
        <v>4</v>
      </c>
      <c r="B29" s="330" t="s">
        <v>188</v>
      </c>
      <c r="C29" s="330" t="s">
        <v>189</v>
      </c>
      <c r="D29" s="330" t="s">
        <v>161</v>
      </c>
      <c r="E29" s="330">
        <v>1</v>
      </c>
      <c r="F29" s="332">
        <v>4.06</v>
      </c>
      <c r="G29" s="332">
        <f t="shared" si="0"/>
        <v>4.06</v>
      </c>
      <c r="H29" s="331"/>
    </row>
    <row r="30" ht="24.75" spans="1:8">
      <c r="A30" s="329">
        <v>5</v>
      </c>
      <c r="B30" s="330" t="s">
        <v>190</v>
      </c>
      <c r="C30" s="330" t="s">
        <v>191</v>
      </c>
      <c r="D30" s="330" t="s">
        <v>161</v>
      </c>
      <c r="E30" s="330">
        <v>2</v>
      </c>
      <c r="F30" s="332">
        <v>1.392</v>
      </c>
      <c r="G30" s="332">
        <f t="shared" si="0"/>
        <v>2.784</v>
      </c>
      <c r="H30" s="331"/>
    </row>
    <row r="31" ht="24.75" spans="1:8">
      <c r="A31" s="329">
        <v>6</v>
      </c>
      <c r="B31" s="330" t="s">
        <v>192</v>
      </c>
      <c r="C31" s="330" t="s">
        <v>193</v>
      </c>
      <c r="D31" s="330" t="s">
        <v>161</v>
      </c>
      <c r="E31" s="330">
        <v>4</v>
      </c>
      <c r="F31" s="332">
        <v>3.712</v>
      </c>
      <c r="G31" s="332">
        <f t="shared" si="0"/>
        <v>14.848</v>
      </c>
      <c r="H31" s="331"/>
    </row>
    <row r="32" ht="24.75" spans="1:8">
      <c r="A32" s="329">
        <v>7</v>
      </c>
      <c r="B32" s="330" t="s">
        <v>194</v>
      </c>
      <c r="C32" s="330" t="s">
        <v>195</v>
      </c>
      <c r="D32" s="330" t="s">
        <v>161</v>
      </c>
      <c r="E32" s="330">
        <v>2</v>
      </c>
      <c r="F32" s="332">
        <v>4.176</v>
      </c>
      <c r="G32" s="332">
        <f t="shared" si="0"/>
        <v>8.352</v>
      </c>
      <c r="H32" s="331"/>
    </row>
    <row r="33" ht="21" customHeight="1" spans="1:8">
      <c r="A33" s="329">
        <v>8</v>
      </c>
      <c r="B33" s="330" t="s">
        <v>196</v>
      </c>
      <c r="C33" s="330" t="s">
        <v>197</v>
      </c>
      <c r="D33" s="330" t="s">
        <v>170</v>
      </c>
      <c r="E33" s="330">
        <v>1</v>
      </c>
      <c r="F33" s="332">
        <v>2.03</v>
      </c>
      <c r="G33" s="332">
        <f t="shared" si="0"/>
        <v>2.03</v>
      </c>
      <c r="H33" s="331"/>
    </row>
    <row r="34" ht="24.75" spans="1:8">
      <c r="A34" s="329">
        <v>9</v>
      </c>
      <c r="B34" s="330" t="s">
        <v>198</v>
      </c>
      <c r="C34" s="330" t="s">
        <v>199</v>
      </c>
      <c r="D34" s="330" t="s">
        <v>161</v>
      </c>
      <c r="E34" s="330">
        <v>7</v>
      </c>
      <c r="F34" s="332">
        <v>0.58</v>
      </c>
      <c r="G34" s="332">
        <f t="shared" si="0"/>
        <v>4.06</v>
      </c>
      <c r="H34" s="331"/>
    </row>
    <row r="35" ht="24.75" spans="1:8">
      <c r="A35" s="329">
        <v>10</v>
      </c>
      <c r="B35" s="330" t="s">
        <v>200</v>
      </c>
      <c r="C35" s="330" t="s">
        <v>201</v>
      </c>
      <c r="D35" s="330" t="s">
        <v>161</v>
      </c>
      <c r="E35" s="330">
        <v>1</v>
      </c>
      <c r="F35" s="332">
        <v>0.406</v>
      </c>
      <c r="G35" s="332">
        <f t="shared" si="0"/>
        <v>0.406</v>
      </c>
      <c r="H35" s="331"/>
    </row>
    <row r="36" ht="21" customHeight="1" spans="1:8">
      <c r="A36" s="329">
        <v>11</v>
      </c>
      <c r="B36" s="330" t="s">
        <v>202</v>
      </c>
      <c r="C36" s="330" t="s">
        <v>203</v>
      </c>
      <c r="D36" s="330" t="s">
        <v>170</v>
      </c>
      <c r="E36" s="330">
        <v>1</v>
      </c>
      <c r="F36" s="332">
        <v>0.232</v>
      </c>
      <c r="G36" s="332">
        <f t="shared" si="0"/>
        <v>0.232</v>
      </c>
      <c r="H36" s="331"/>
    </row>
    <row r="37" ht="21" customHeight="1" spans="1:8">
      <c r="A37" s="329">
        <v>12</v>
      </c>
      <c r="B37" s="330" t="s">
        <v>204</v>
      </c>
      <c r="C37" s="330" t="s">
        <v>205</v>
      </c>
      <c r="D37" s="330" t="s">
        <v>170</v>
      </c>
      <c r="E37" s="330">
        <v>1</v>
      </c>
      <c r="F37" s="332">
        <v>0.928</v>
      </c>
      <c r="G37" s="332">
        <f t="shared" si="0"/>
        <v>0.928</v>
      </c>
      <c r="H37" s="331" t="s">
        <v>180</v>
      </c>
    </row>
    <row r="38" ht="21" customHeight="1" spans="1:8">
      <c r="A38" s="329">
        <v>13</v>
      </c>
      <c r="B38" s="330" t="s">
        <v>206</v>
      </c>
      <c r="C38" s="330" t="s">
        <v>207</v>
      </c>
      <c r="D38" s="330" t="s">
        <v>161</v>
      </c>
      <c r="E38" s="330">
        <v>1</v>
      </c>
      <c r="F38" s="332">
        <v>0</v>
      </c>
      <c r="G38" s="332">
        <f t="shared" si="0"/>
        <v>0</v>
      </c>
      <c r="H38" s="331" t="s">
        <v>208</v>
      </c>
    </row>
    <row r="39" ht="21" customHeight="1" spans="1:8">
      <c r="A39" s="329">
        <v>14</v>
      </c>
      <c r="B39" s="330" t="s">
        <v>209</v>
      </c>
      <c r="C39" s="330" t="s">
        <v>210</v>
      </c>
      <c r="D39" s="330" t="s">
        <v>161</v>
      </c>
      <c r="E39" s="330">
        <v>2</v>
      </c>
      <c r="F39" s="332">
        <v>3.248</v>
      </c>
      <c r="G39" s="332">
        <f t="shared" si="0"/>
        <v>6.496</v>
      </c>
      <c r="H39" s="331"/>
    </row>
    <row r="40" ht="25.5" spans="1:8">
      <c r="A40" s="329">
        <v>15</v>
      </c>
      <c r="B40" s="330" t="s">
        <v>211</v>
      </c>
      <c r="C40" s="330" t="s">
        <v>212</v>
      </c>
      <c r="D40" s="330" t="s">
        <v>161</v>
      </c>
      <c r="E40" s="330">
        <v>1</v>
      </c>
      <c r="F40" s="332">
        <v>2.9</v>
      </c>
      <c r="G40" s="332">
        <f t="shared" si="0"/>
        <v>2.9</v>
      </c>
      <c r="H40" s="331"/>
    </row>
    <row r="41" ht="21" customHeight="1" spans="1:8">
      <c r="A41" s="329" t="s">
        <v>213</v>
      </c>
      <c r="B41" s="330"/>
      <c r="C41" s="330"/>
      <c r="D41" s="330"/>
      <c r="E41" s="330"/>
      <c r="F41" s="332"/>
      <c r="G41" s="332"/>
      <c r="H41" s="331"/>
    </row>
    <row r="42" ht="37.5" spans="1:8">
      <c r="A42" s="329">
        <v>1</v>
      </c>
      <c r="B42" s="330" t="s">
        <v>214</v>
      </c>
      <c r="C42" s="330" t="s">
        <v>215</v>
      </c>
      <c r="D42" s="330" t="s">
        <v>170</v>
      </c>
      <c r="E42" s="330">
        <v>2</v>
      </c>
      <c r="F42" s="332">
        <v>3.8</v>
      </c>
      <c r="G42" s="332">
        <f t="shared" si="0"/>
        <v>7.6</v>
      </c>
      <c r="H42" s="331" t="s">
        <v>216</v>
      </c>
    </row>
    <row r="43" ht="37.5" spans="1:8">
      <c r="A43" s="329">
        <v>2</v>
      </c>
      <c r="B43" s="330" t="s">
        <v>217</v>
      </c>
      <c r="C43" s="330" t="s">
        <v>218</v>
      </c>
      <c r="D43" s="330" t="s">
        <v>170</v>
      </c>
      <c r="E43" s="330">
        <v>2</v>
      </c>
      <c r="F43" s="332">
        <v>3.9</v>
      </c>
      <c r="G43" s="332">
        <f t="shared" si="0"/>
        <v>7.8</v>
      </c>
      <c r="H43" s="331" t="s">
        <v>216</v>
      </c>
    </row>
    <row r="44" ht="37.5" spans="1:8">
      <c r="A44" s="329">
        <v>3</v>
      </c>
      <c r="B44" s="330" t="s">
        <v>219</v>
      </c>
      <c r="C44" s="330" t="s">
        <v>215</v>
      </c>
      <c r="D44" s="330" t="s">
        <v>170</v>
      </c>
      <c r="E44" s="330">
        <v>2</v>
      </c>
      <c r="F44" s="332">
        <v>3.8</v>
      </c>
      <c r="G44" s="332">
        <f t="shared" si="0"/>
        <v>7.6</v>
      </c>
      <c r="H44" s="331" t="s">
        <v>220</v>
      </c>
    </row>
    <row r="45" ht="37.5" spans="1:8">
      <c r="A45" s="329">
        <v>4</v>
      </c>
      <c r="B45" s="330" t="s">
        <v>221</v>
      </c>
      <c r="C45" s="330" t="s">
        <v>222</v>
      </c>
      <c r="D45" s="330" t="s">
        <v>170</v>
      </c>
      <c r="E45" s="330">
        <v>3</v>
      </c>
      <c r="F45" s="332">
        <v>4.712</v>
      </c>
      <c r="G45" s="332">
        <f t="shared" si="0"/>
        <v>14.136</v>
      </c>
      <c r="H45" s="331" t="s">
        <v>223</v>
      </c>
    </row>
    <row r="46" ht="38.25" spans="1:8">
      <c r="A46" s="329">
        <v>5</v>
      </c>
      <c r="B46" s="330" t="s">
        <v>224</v>
      </c>
      <c r="C46" s="330" t="s">
        <v>225</v>
      </c>
      <c r="D46" s="330" t="s">
        <v>170</v>
      </c>
      <c r="E46" s="330">
        <v>3</v>
      </c>
      <c r="F46" s="332">
        <v>4.248</v>
      </c>
      <c r="G46" s="332">
        <f t="shared" si="0"/>
        <v>12.744</v>
      </c>
      <c r="H46" s="331" t="s">
        <v>226</v>
      </c>
    </row>
    <row r="47" spans="1:8">
      <c r="A47" s="329">
        <v>6</v>
      </c>
      <c r="B47" s="333" t="s">
        <v>227</v>
      </c>
      <c r="C47" s="330" t="s">
        <v>228</v>
      </c>
      <c r="D47" s="330" t="s">
        <v>229</v>
      </c>
      <c r="E47" s="330">
        <v>1320</v>
      </c>
      <c r="F47" s="332">
        <v>0.01624</v>
      </c>
      <c r="G47" s="332">
        <f t="shared" si="0"/>
        <v>21.4368</v>
      </c>
      <c r="H47" s="334" t="s">
        <v>230</v>
      </c>
    </row>
    <row r="48" ht="24.75" spans="1:8">
      <c r="A48" s="329">
        <v>7</v>
      </c>
      <c r="B48" s="330" t="s">
        <v>231</v>
      </c>
      <c r="C48" s="330" t="s">
        <v>232</v>
      </c>
      <c r="D48" s="330" t="s">
        <v>170</v>
      </c>
      <c r="E48" s="330">
        <v>1</v>
      </c>
      <c r="F48" s="332">
        <v>2.552</v>
      </c>
      <c r="G48" s="332">
        <f t="shared" si="0"/>
        <v>2.552</v>
      </c>
      <c r="H48" s="331" t="s">
        <v>233</v>
      </c>
    </row>
    <row r="49" ht="21" customHeight="1" spans="1:8">
      <c r="A49" s="329">
        <v>8</v>
      </c>
      <c r="B49" s="330" t="s">
        <v>234</v>
      </c>
      <c r="C49" s="330" t="s">
        <v>235</v>
      </c>
      <c r="D49" s="330" t="s">
        <v>170</v>
      </c>
      <c r="E49" s="330">
        <v>1</v>
      </c>
      <c r="F49" s="332">
        <v>0.1392</v>
      </c>
      <c r="G49" s="332">
        <f t="shared" si="0"/>
        <v>0.1392</v>
      </c>
      <c r="H49" s="331"/>
    </row>
    <row r="50" ht="21" customHeight="1" spans="1:8">
      <c r="A50" s="329">
        <v>9</v>
      </c>
      <c r="B50" s="330" t="s">
        <v>236</v>
      </c>
      <c r="C50" s="330" t="s">
        <v>237</v>
      </c>
      <c r="D50" s="330" t="s">
        <v>170</v>
      </c>
      <c r="E50" s="330">
        <v>1</v>
      </c>
      <c r="F50" s="332">
        <v>0.116</v>
      </c>
      <c r="G50" s="332">
        <f t="shared" si="0"/>
        <v>0.116</v>
      </c>
      <c r="H50" s="331"/>
    </row>
    <row r="51" ht="21" customHeight="1" spans="1:8">
      <c r="A51" s="329">
        <v>10</v>
      </c>
      <c r="B51" s="333" t="s">
        <v>238</v>
      </c>
      <c r="C51" s="330" t="s">
        <v>239</v>
      </c>
      <c r="D51" s="330" t="s">
        <v>170</v>
      </c>
      <c r="E51" s="330">
        <v>4</v>
      </c>
      <c r="F51" s="332">
        <v>0.08</v>
      </c>
      <c r="G51" s="332">
        <f t="shared" si="0"/>
        <v>0.32</v>
      </c>
      <c r="H51" s="331"/>
    </row>
    <row r="52" ht="21" customHeight="1" spans="1:8">
      <c r="A52" s="329" t="s">
        <v>240</v>
      </c>
      <c r="B52" s="330"/>
      <c r="C52" s="330"/>
      <c r="D52" s="330"/>
      <c r="E52" s="330"/>
      <c r="F52" s="332"/>
      <c r="G52" s="332"/>
      <c r="H52" s="331"/>
    </row>
    <row r="53" ht="25.5" spans="1:8">
      <c r="A53" s="329">
        <v>1</v>
      </c>
      <c r="B53" s="330" t="s">
        <v>241</v>
      </c>
      <c r="C53" s="330" t="s">
        <v>242</v>
      </c>
      <c r="D53" s="330" t="s">
        <v>161</v>
      </c>
      <c r="E53" s="330">
        <v>1</v>
      </c>
      <c r="F53" s="332">
        <v>35.624</v>
      </c>
      <c r="G53" s="332">
        <f t="shared" si="0"/>
        <v>35.624</v>
      </c>
      <c r="H53" s="331"/>
    </row>
    <row r="54" ht="24.75" spans="1:8">
      <c r="A54" s="329">
        <v>2</v>
      </c>
      <c r="B54" s="330" t="s">
        <v>243</v>
      </c>
      <c r="C54" s="330" t="s">
        <v>244</v>
      </c>
      <c r="D54" s="330" t="s">
        <v>170</v>
      </c>
      <c r="E54" s="330">
        <v>1</v>
      </c>
      <c r="F54" s="332">
        <v>1.566</v>
      </c>
      <c r="G54" s="332">
        <f t="shared" si="0"/>
        <v>1.566</v>
      </c>
      <c r="H54" s="331" t="s">
        <v>245</v>
      </c>
    </row>
    <row r="55" ht="24.75" spans="1:8">
      <c r="A55" s="329">
        <v>3</v>
      </c>
      <c r="B55" s="330" t="s">
        <v>246</v>
      </c>
      <c r="C55" s="330" t="s">
        <v>247</v>
      </c>
      <c r="D55" s="330" t="s">
        <v>170</v>
      </c>
      <c r="E55" s="330">
        <v>1</v>
      </c>
      <c r="F55" s="332">
        <v>0.986</v>
      </c>
      <c r="G55" s="332">
        <f t="shared" si="0"/>
        <v>0.986</v>
      </c>
      <c r="H55" s="331" t="s">
        <v>245</v>
      </c>
    </row>
    <row r="56" ht="21" customHeight="1" spans="1:8">
      <c r="A56" s="329">
        <v>4</v>
      </c>
      <c r="B56" s="330" t="s">
        <v>248</v>
      </c>
      <c r="C56" s="330" t="s">
        <v>169</v>
      </c>
      <c r="D56" s="330" t="s">
        <v>170</v>
      </c>
      <c r="E56" s="330">
        <v>1</v>
      </c>
      <c r="F56" s="332">
        <v>1.392</v>
      </c>
      <c r="G56" s="332">
        <f t="shared" si="0"/>
        <v>1.392</v>
      </c>
      <c r="H56" s="331" t="s">
        <v>245</v>
      </c>
    </row>
    <row r="57" ht="25.5" spans="1:8">
      <c r="A57" s="329">
        <v>5</v>
      </c>
      <c r="B57" s="330" t="s">
        <v>249</v>
      </c>
      <c r="C57" s="330" t="s">
        <v>250</v>
      </c>
      <c r="D57" s="330" t="s">
        <v>170</v>
      </c>
      <c r="E57" s="330">
        <v>1</v>
      </c>
      <c r="F57" s="332">
        <v>1.624</v>
      </c>
      <c r="G57" s="332">
        <f t="shared" si="0"/>
        <v>1.624</v>
      </c>
      <c r="H57" s="331" t="s">
        <v>245</v>
      </c>
    </row>
    <row r="58" ht="25.5" spans="1:8">
      <c r="A58" s="329">
        <v>6</v>
      </c>
      <c r="B58" s="330" t="s">
        <v>251</v>
      </c>
      <c r="C58" s="330" t="s">
        <v>252</v>
      </c>
      <c r="D58" s="330" t="s">
        <v>170</v>
      </c>
      <c r="E58" s="330">
        <v>1</v>
      </c>
      <c r="F58" s="332">
        <v>2.9</v>
      </c>
      <c r="G58" s="332">
        <f t="shared" si="0"/>
        <v>2.9</v>
      </c>
      <c r="H58" s="331" t="s">
        <v>245</v>
      </c>
    </row>
    <row r="59" ht="25.5" spans="1:8">
      <c r="A59" s="329">
        <v>7</v>
      </c>
      <c r="B59" s="330" t="s">
        <v>253</v>
      </c>
      <c r="C59" s="330" t="s">
        <v>254</v>
      </c>
      <c r="D59" s="330" t="s">
        <v>161</v>
      </c>
      <c r="E59" s="330">
        <v>1</v>
      </c>
      <c r="F59" s="332">
        <v>0.9048</v>
      </c>
      <c r="G59" s="332">
        <f t="shared" si="0"/>
        <v>0.9048</v>
      </c>
      <c r="H59" s="331"/>
    </row>
    <row r="60" ht="21" customHeight="1" spans="1:8">
      <c r="A60" s="329" t="s">
        <v>255</v>
      </c>
      <c r="B60" s="330"/>
      <c r="C60" s="330"/>
      <c r="D60" s="330"/>
      <c r="E60" s="330"/>
      <c r="F60" s="332"/>
      <c r="G60" s="332"/>
      <c r="H60" s="331"/>
    </row>
    <row r="61" ht="21" customHeight="1" spans="1:8">
      <c r="A61" s="329">
        <v>1</v>
      </c>
      <c r="B61" s="330" t="s">
        <v>256</v>
      </c>
      <c r="C61" s="330" t="s">
        <v>257</v>
      </c>
      <c r="D61" s="330" t="s">
        <v>161</v>
      </c>
      <c r="E61" s="330">
        <v>2</v>
      </c>
      <c r="F61" s="332">
        <v>2.552</v>
      </c>
      <c r="G61" s="332">
        <f t="shared" ref="G61:G88" si="1">E61*F61</f>
        <v>5.104</v>
      </c>
      <c r="H61" s="331" t="s">
        <v>258</v>
      </c>
    </row>
    <row r="62" ht="21" customHeight="1" spans="1:8">
      <c r="A62" s="329">
        <v>2</v>
      </c>
      <c r="B62" s="330" t="s">
        <v>259</v>
      </c>
      <c r="C62" s="330" t="s">
        <v>260</v>
      </c>
      <c r="D62" s="330" t="s">
        <v>161</v>
      </c>
      <c r="E62" s="330">
        <v>2</v>
      </c>
      <c r="F62" s="332">
        <v>0.87</v>
      </c>
      <c r="G62" s="332">
        <f t="shared" si="1"/>
        <v>1.74</v>
      </c>
      <c r="H62" s="331" t="s">
        <v>261</v>
      </c>
    </row>
    <row r="63" ht="21" customHeight="1" spans="1:8">
      <c r="A63" s="329">
        <v>3</v>
      </c>
      <c r="B63" s="330" t="s">
        <v>211</v>
      </c>
      <c r="C63" s="330" t="s">
        <v>262</v>
      </c>
      <c r="D63" s="330" t="s">
        <v>161</v>
      </c>
      <c r="E63" s="330">
        <v>3</v>
      </c>
      <c r="F63" s="332">
        <v>2.088</v>
      </c>
      <c r="G63" s="332">
        <f t="shared" si="1"/>
        <v>6.264</v>
      </c>
      <c r="H63" s="331" t="s">
        <v>263</v>
      </c>
    </row>
    <row r="64" ht="21" customHeight="1" spans="1:8">
      <c r="A64" s="329">
        <v>4</v>
      </c>
      <c r="B64" s="330" t="s">
        <v>264</v>
      </c>
      <c r="C64" s="330" t="s">
        <v>265</v>
      </c>
      <c r="D64" s="330" t="s">
        <v>161</v>
      </c>
      <c r="E64" s="330">
        <v>4</v>
      </c>
      <c r="F64" s="332">
        <v>2.552</v>
      </c>
      <c r="G64" s="332">
        <f t="shared" si="1"/>
        <v>10.208</v>
      </c>
      <c r="H64" s="331" t="s">
        <v>263</v>
      </c>
    </row>
    <row r="65" ht="21" customHeight="1" spans="1:8">
      <c r="A65" s="329">
        <v>5</v>
      </c>
      <c r="B65" s="330" t="s">
        <v>211</v>
      </c>
      <c r="C65" s="330" t="s">
        <v>266</v>
      </c>
      <c r="D65" s="330" t="s">
        <v>161</v>
      </c>
      <c r="E65" s="330">
        <v>2</v>
      </c>
      <c r="F65" s="332">
        <v>1.102</v>
      </c>
      <c r="G65" s="332">
        <f t="shared" si="1"/>
        <v>2.204</v>
      </c>
      <c r="H65" s="331" t="s">
        <v>263</v>
      </c>
    </row>
    <row r="66" ht="21" customHeight="1" spans="1:8">
      <c r="A66" s="329" t="s">
        <v>267</v>
      </c>
      <c r="B66" s="330"/>
      <c r="C66" s="330"/>
      <c r="D66" s="330"/>
      <c r="E66" s="330"/>
      <c r="F66" s="332"/>
      <c r="G66" s="332"/>
      <c r="H66" s="331"/>
    </row>
    <row r="67" ht="23.25" customHeight="1" spans="1:8">
      <c r="A67" s="329">
        <v>1</v>
      </c>
      <c r="B67" s="330" t="s">
        <v>268</v>
      </c>
      <c r="C67" s="330" t="s">
        <v>269</v>
      </c>
      <c r="D67" s="330" t="s">
        <v>161</v>
      </c>
      <c r="E67" s="330">
        <v>1</v>
      </c>
      <c r="F67" s="332">
        <v>4.408</v>
      </c>
      <c r="G67" s="332">
        <f t="shared" si="1"/>
        <v>4.408</v>
      </c>
      <c r="H67" s="331"/>
    </row>
    <row r="68" ht="25.5" spans="1:8">
      <c r="A68" s="329">
        <v>2</v>
      </c>
      <c r="B68" s="330" t="s">
        <v>270</v>
      </c>
      <c r="C68" s="330" t="s">
        <v>271</v>
      </c>
      <c r="D68" s="330" t="s">
        <v>161</v>
      </c>
      <c r="E68" s="330">
        <v>1</v>
      </c>
      <c r="F68" s="332">
        <v>12.02</v>
      </c>
      <c r="G68" s="332">
        <f t="shared" si="1"/>
        <v>12.02</v>
      </c>
      <c r="H68" s="331" t="s">
        <v>272</v>
      </c>
    </row>
    <row r="69" ht="25.5" spans="1:8">
      <c r="A69" s="329">
        <v>3</v>
      </c>
      <c r="B69" s="330" t="s">
        <v>273</v>
      </c>
      <c r="C69" s="330" t="s">
        <v>274</v>
      </c>
      <c r="D69" s="330" t="s">
        <v>161</v>
      </c>
      <c r="E69" s="330">
        <v>1</v>
      </c>
      <c r="F69" s="332">
        <v>11.208</v>
      </c>
      <c r="G69" s="332">
        <f t="shared" si="1"/>
        <v>11.208</v>
      </c>
      <c r="H69" s="331"/>
    </row>
    <row r="70" ht="24.75" spans="1:8">
      <c r="A70" s="329">
        <v>4</v>
      </c>
      <c r="B70" s="330" t="s">
        <v>275</v>
      </c>
      <c r="C70" s="330" t="s">
        <v>276</v>
      </c>
      <c r="D70" s="330" t="s">
        <v>170</v>
      </c>
      <c r="E70" s="330">
        <v>10</v>
      </c>
      <c r="F70" s="332">
        <v>0.522</v>
      </c>
      <c r="G70" s="332">
        <f t="shared" si="1"/>
        <v>5.22</v>
      </c>
      <c r="H70" s="331"/>
    </row>
    <row r="71" ht="24.75" spans="1:8">
      <c r="A71" s="329">
        <v>5</v>
      </c>
      <c r="B71" s="330" t="s">
        <v>246</v>
      </c>
      <c r="C71" s="330" t="s">
        <v>277</v>
      </c>
      <c r="D71" s="330" t="s">
        <v>170</v>
      </c>
      <c r="E71" s="330">
        <v>20</v>
      </c>
      <c r="F71" s="332">
        <v>0</v>
      </c>
      <c r="G71" s="332">
        <f t="shared" si="1"/>
        <v>0</v>
      </c>
      <c r="H71" s="331"/>
    </row>
    <row r="72" ht="24.75" spans="1:8">
      <c r="A72" s="329">
        <v>6</v>
      </c>
      <c r="B72" s="330" t="s">
        <v>278</v>
      </c>
      <c r="C72" s="330" t="s">
        <v>279</v>
      </c>
      <c r="D72" s="330" t="s">
        <v>161</v>
      </c>
      <c r="E72" s="330">
        <v>3</v>
      </c>
      <c r="F72" s="332">
        <v>6.38</v>
      </c>
      <c r="G72" s="332">
        <f t="shared" si="1"/>
        <v>19.14</v>
      </c>
      <c r="H72" s="331" t="s">
        <v>280</v>
      </c>
    </row>
    <row r="73" ht="24.75" spans="1:8">
      <c r="A73" s="329">
        <v>7</v>
      </c>
      <c r="B73" s="330" t="s">
        <v>281</v>
      </c>
      <c r="C73" s="330" t="s">
        <v>282</v>
      </c>
      <c r="D73" s="330" t="s">
        <v>283</v>
      </c>
      <c r="E73" s="330">
        <v>51.2</v>
      </c>
      <c r="F73" s="332">
        <v>0.1392</v>
      </c>
      <c r="G73" s="332">
        <f t="shared" si="1"/>
        <v>7.12704</v>
      </c>
      <c r="H73" s="331"/>
    </row>
    <row r="74" ht="24.75" spans="1:8">
      <c r="A74" s="329">
        <v>8</v>
      </c>
      <c r="B74" s="330" t="s">
        <v>284</v>
      </c>
      <c r="C74" s="330" t="s">
        <v>285</v>
      </c>
      <c r="D74" s="330" t="s">
        <v>161</v>
      </c>
      <c r="E74" s="330">
        <v>2</v>
      </c>
      <c r="F74" s="332">
        <v>1.4848</v>
      </c>
      <c r="G74" s="332">
        <f t="shared" si="1"/>
        <v>2.9696</v>
      </c>
      <c r="H74" s="331"/>
    </row>
    <row r="75" ht="21" customHeight="1" spans="1:8">
      <c r="A75" s="329">
        <v>9</v>
      </c>
      <c r="B75" s="330" t="s">
        <v>286</v>
      </c>
      <c r="C75" s="330" t="s">
        <v>287</v>
      </c>
      <c r="D75" s="330" t="s">
        <v>161</v>
      </c>
      <c r="E75" s="330">
        <v>2</v>
      </c>
      <c r="F75" s="332">
        <v>2.552</v>
      </c>
      <c r="G75" s="332">
        <f t="shared" si="1"/>
        <v>5.104</v>
      </c>
      <c r="H75" s="331"/>
    </row>
    <row r="76" ht="21" customHeight="1" spans="1:8">
      <c r="A76" s="329">
        <v>10</v>
      </c>
      <c r="B76" s="333" t="s">
        <v>288</v>
      </c>
      <c r="C76" s="330" t="s">
        <v>289</v>
      </c>
      <c r="D76" s="330" t="s">
        <v>161</v>
      </c>
      <c r="E76" s="330">
        <v>1</v>
      </c>
      <c r="F76" s="332">
        <v>5.88</v>
      </c>
      <c r="G76" s="332">
        <f t="shared" si="1"/>
        <v>5.88</v>
      </c>
      <c r="H76" s="331"/>
    </row>
    <row r="77" ht="21" customHeight="1" spans="1:8">
      <c r="A77" s="329" t="s">
        <v>290</v>
      </c>
      <c r="B77" s="330"/>
      <c r="C77" s="330"/>
      <c r="D77" s="330"/>
      <c r="E77" s="330"/>
      <c r="F77" s="332"/>
      <c r="G77" s="332"/>
      <c r="H77" s="331"/>
    </row>
    <row r="78" ht="25.5" spans="1:8">
      <c r="A78" s="329">
        <v>1</v>
      </c>
      <c r="B78" s="330" t="s">
        <v>291</v>
      </c>
      <c r="C78" s="330" t="s">
        <v>292</v>
      </c>
      <c r="D78" s="330" t="s">
        <v>161</v>
      </c>
      <c r="E78" s="330">
        <v>2</v>
      </c>
      <c r="F78" s="332">
        <v>0.58</v>
      </c>
      <c r="G78" s="332">
        <f t="shared" si="1"/>
        <v>1.16</v>
      </c>
      <c r="H78" s="331" t="s">
        <v>293</v>
      </c>
    </row>
    <row r="79" ht="24.75" spans="1:8">
      <c r="A79" s="329">
        <v>2</v>
      </c>
      <c r="B79" s="330" t="s">
        <v>291</v>
      </c>
      <c r="C79" s="330" t="s">
        <v>294</v>
      </c>
      <c r="D79" s="330" t="s">
        <v>161</v>
      </c>
      <c r="E79" s="330">
        <v>2</v>
      </c>
      <c r="F79" s="332">
        <v>0.58</v>
      </c>
      <c r="G79" s="332">
        <f t="shared" si="1"/>
        <v>1.16</v>
      </c>
      <c r="H79" s="331" t="s">
        <v>295</v>
      </c>
    </row>
    <row r="80" ht="24.75" spans="1:8">
      <c r="A80" s="329">
        <v>3</v>
      </c>
      <c r="B80" s="330" t="s">
        <v>296</v>
      </c>
      <c r="C80" s="330" t="s">
        <v>297</v>
      </c>
      <c r="D80" s="330" t="s">
        <v>161</v>
      </c>
      <c r="E80" s="330">
        <v>2</v>
      </c>
      <c r="F80" s="332">
        <v>0.58</v>
      </c>
      <c r="G80" s="332">
        <f t="shared" si="1"/>
        <v>1.16</v>
      </c>
      <c r="H80" s="331" t="s">
        <v>298</v>
      </c>
    </row>
    <row r="81" ht="21" customHeight="1" spans="1:8">
      <c r="A81" s="329">
        <v>4</v>
      </c>
      <c r="B81" s="330" t="s">
        <v>299</v>
      </c>
      <c r="C81" s="330" t="s">
        <v>300</v>
      </c>
      <c r="D81" s="330" t="s">
        <v>161</v>
      </c>
      <c r="E81" s="330">
        <v>1</v>
      </c>
      <c r="F81" s="332">
        <v>0.406</v>
      </c>
      <c r="G81" s="332">
        <f t="shared" si="1"/>
        <v>0.406</v>
      </c>
      <c r="H81" s="331"/>
    </row>
    <row r="82" ht="36.75" spans="1:8">
      <c r="A82" s="329">
        <v>5</v>
      </c>
      <c r="B82" s="330" t="s">
        <v>301</v>
      </c>
      <c r="C82" s="330" t="s">
        <v>302</v>
      </c>
      <c r="D82" s="330" t="s">
        <v>170</v>
      </c>
      <c r="E82" s="330">
        <v>2</v>
      </c>
      <c r="F82" s="332">
        <v>2.088</v>
      </c>
      <c r="G82" s="332">
        <f t="shared" si="1"/>
        <v>4.176</v>
      </c>
      <c r="H82" s="331" t="s">
        <v>303</v>
      </c>
    </row>
    <row r="83" ht="25.5" spans="1:8">
      <c r="A83" s="329">
        <v>6</v>
      </c>
      <c r="B83" s="330" t="s">
        <v>304</v>
      </c>
      <c r="C83" s="330" t="s">
        <v>305</v>
      </c>
      <c r="D83" s="330" t="s">
        <v>170</v>
      </c>
      <c r="E83" s="330">
        <v>1</v>
      </c>
      <c r="F83" s="332">
        <v>0.928</v>
      </c>
      <c r="G83" s="332">
        <f t="shared" si="1"/>
        <v>0.928</v>
      </c>
      <c r="H83" s="331" t="s">
        <v>306</v>
      </c>
    </row>
    <row r="84" ht="21" customHeight="1" spans="1:8">
      <c r="A84" s="329">
        <v>7</v>
      </c>
      <c r="B84" s="330" t="s">
        <v>307</v>
      </c>
      <c r="C84" s="330" t="s">
        <v>308</v>
      </c>
      <c r="D84" s="330" t="s">
        <v>161</v>
      </c>
      <c r="E84" s="330">
        <v>1</v>
      </c>
      <c r="F84" s="332">
        <v>0</v>
      </c>
      <c r="G84" s="332">
        <f t="shared" si="1"/>
        <v>0</v>
      </c>
      <c r="H84" s="331" t="s">
        <v>309</v>
      </c>
    </row>
    <row r="85" ht="21" customHeight="1" spans="1:8">
      <c r="A85" s="329" t="s">
        <v>310</v>
      </c>
      <c r="B85" s="330"/>
      <c r="C85" s="330"/>
      <c r="D85" s="330"/>
      <c r="E85" s="330"/>
      <c r="F85" s="332"/>
      <c r="G85" s="332"/>
      <c r="H85" s="331"/>
    </row>
    <row r="86" ht="40.5" customHeight="1" spans="1:8">
      <c r="A86" s="329">
        <v>1</v>
      </c>
      <c r="B86" s="330" t="s">
        <v>190</v>
      </c>
      <c r="C86" s="330" t="s">
        <v>311</v>
      </c>
      <c r="D86" s="330" t="s">
        <v>161</v>
      </c>
      <c r="E86" s="330">
        <v>2</v>
      </c>
      <c r="F86" s="332">
        <v>7.424</v>
      </c>
      <c r="G86" s="332">
        <f t="shared" si="1"/>
        <v>14.848</v>
      </c>
      <c r="H86" s="331" t="s">
        <v>261</v>
      </c>
    </row>
    <row r="87" ht="21.75" customHeight="1" spans="1:8">
      <c r="A87" s="329">
        <v>2</v>
      </c>
      <c r="B87" s="333" t="s">
        <v>312</v>
      </c>
      <c r="C87" s="330" t="s">
        <v>313</v>
      </c>
      <c r="D87" s="333" t="s">
        <v>314</v>
      </c>
      <c r="E87" s="330">
        <v>2</v>
      </c>
      <c r="F87" s="332">
        <v>0</v>
      </c>
      <c r="G87" s="332">
        <f t="shared" si="1"/>
        <v>0</v>
      </c>
      <c r="H87" s="334" t="s">
        <v>315</v>
      </c>
    </row>
    <row r="88" ht="21.75" customHeight="1" spans="1:8">
      <c r="A88" s="329">
        <v>3</v>
      </c>
      <c r="B88" s="333" t="s">
        <v>312</v>
      </c>
      <c r="C88" s="330" t="s">
        <v>316</v>
      </c>
      <c r="D88" s="333" t="s">
        <v>314</v>
      </c>
      <c r="E88" s="330">
        <v>2</v>
      </c>
      <c r="F88" s="332">
        <v>0</v>
      </c>
      <c r="G88" s="332">
        <f t="shared" si="1"/>
        <v>0</v>
      </c>
      <c r="H88" s="334" t="s">
        <v>317</v>
      </c>
    </row>
    <row r="89" ht="21" customHeight="1" spans="1:8">
      <c r="A89" s="329" t="s">
        <v>318</v>
      </c>
      <c r="B89" s="330"/>
      <c r="C89" s="330"/>
      <c r="D89" s="330"/>
      <c r="E89" s="330"/>
      <c r="F89" s="332"/>
      <c r="G89" s="332"/>
      <c r="H89" s="331"/>
    </row>
    <row r="90" ht="21" customHeight="1" spans="1:8">
      <c r="A90" s="329">
        <v>1</v>
      </c>
      <c r="B90" s="330" t="s">
        <v>319</v>
      </c>
      <c r="C90" s="333" t="s">
        <v>320</v>
      </c>
      <c r="D90" s="330" t="s">
        <v>229</v>
      </c>
      <c r="E90" s="330">
        <v>1</v>
      </c>
      <c r="F90" s="332">
        <v>5.6</v>
      </c>
      <c r="G90" s="332">
        <f t="shared" ref="G90:G135" si="2">E90*F90</f>
        <v>5.6</v>
      </c>
      <c r="H90" s="331" t="s">
        <v>321</v>
      </c>
    </row>
    <row r="91" ht="21" customHeight="1" spans="1:8">
      <c r="A91" s="329">
        <v>2</v>
      </c>
      <c r="B91" s="330" t="s">
        <v>322</v>
      </c>
      <c r="C91" s="330" t="s">
        <v>323</v>
      </c>
      <c r="D91" s="330" t="s">
        <v>170</v>
      </c>
      <c r="E91" s="330">
        <v>2</v>
      </c>
      <c r="F91" s="332">
        <v>0.6032</v>
      </c>
      <c r="G91" s="332">
        <f t="shared" si="2"/>
        <v>1.2064</v>
      </c>
      <c r="H91" s="331" t="s">
        <v>324</v>
      </c>
    </row>
    <row r="92" ht="21" customHeight="1" spans="1:8">
      <c r="A92" s="329">
        <v>5</v>
      </c>
      <c r="B92" s="330" t="s">
        <v>325</v>
      </c>
      <c r="C92" s="330" t="s">
        <v>326</v>
      </c>
      <c r="D92" s="330" t="s">
        <v>161</v>
      </c>
      <c r="E92" s="330">
        <v>6</v>
      </c>
      <c r="F92" s="332">
        <v>0.1508</v>
      </c>
      <c r="G92" s="332">
        <f t="shared" si="2"/>
        <v>0.9048</v>
      </c>
      <c r="H92" s="331"/>
    </row>
    <row r="93" ht="21" customHeight="1" spans="1:8">
      <c r="A93" s="329">
        <v>6</v>
      </c>
      <c r="B93" s="330" t="s">
        <v>327</v>
      </c>
      <c r="C93" s="330" t="s">
        <v>328</v>
      </c>
      <c r="D93" s="330" t="s">
        <v>161</v>
      </c>
      <c r="E93" s="330">
        <v>2</v>
      </c>
      <c r="F93" s="332">
        <v>0.928</v>
      </c>
      <c r="G93" s="332">
        <f t="shared" si="2"/>
        <v>1.856</v>
      </c>
      <c r="H93" s="331"/>
    </row>
    <row r="94" ht="21" customHeight="1" spans="1:8">
      <c r="A94" s="329">
        <v>7</v>
      </c>
      <c r="B94" s="330" t="s">
        <v>329</v>
      </c>
      <c r="C94" s="330" t="s">
        <v>326</v>
      </c>
      <c r="D94" s="330" t="s">
        <v>161</v>
      </c>
      <c r="E94" s="330">
        <v>1</v>
      </c>
      <c r="F94" s="332">
        <v>0.928</v>
      </c>
      <c r="G94" s="332">
        <f t="shared" si="2"/>
        <v>0.928</v>
      </c>
      <c r="H94" s="331"/>
    </row>
    <row r="95" ht="21" customHeight="1" spans="1:8">
      <c r="A95" s="329">
        <v>8</v>
      </c>
      <c r="B95" s="330" t="s">
        <v>330</v>
      </c>
      <c r="C95" s="330"/>
      <c r="D95" s="330" t="s">
        <v>170</v>
      </c>
      <c r="E95" s="330">
        <v>1</v>
      </c>
      <c r="F95" s="332">
        <v>0</v>
      </c>
      <c r="G95" s="332">
        <f t="shared" si="2"/>
        <v>0</v>
      </c>
      <c r="H95" s="331"/>
    </row>
    <row r="96" ht="21" customHeight="1" spans="1:8">
      <c r="A96" s="329">
        <v>9</v>
      </c>
      <c r="B96" s="330" t="s">
        <v>331</v>
      </c>
      <c r="C96" s="330" t="s">
        <v>332</v>
      </c>
      <c r="D96" s="330" t="s">
        <v>170</v>
      </c>
      <c r="E96" s="330">
        <v>1</v>
      </c>
      <c r="F96" s="332">
        <v>10.44</v>
      </c>
      <c r="G96" s="332">
        <f t="shared" si="2"/>
        <v>10.44</v>
      </c>
      <c r="H96" s="331"/>
    </row>
    <row r="97" ht="21" customHeight="1" spans="1:8">
      <c r="A97" s="329">
        <v>10</v>
      </c>
      <c r="B97" s="330" t="s">
        <v>333</v>
      </c>
      <c r="C97" s="330" t="s">
        <v>334</v>
      </c>
      <c r="D97" s="330" t="s">
        <v>161</v>
      </c>
      <c r="E97" s="330">
        <v>2</v>
      </c>
      <c r="F97" s="332">
        <v>1.392</v>
      </c>
      <c r="G97" s="332">
        <f t="shared" si="2"/>
        <v>2.784</v>
      </c>
      <c r="H97" s="331"/>
    </row>
    <row r="98" ht="21" customHeight="1" spans="1:8">
      <c r="A98" s="329">
        <v>11</v>
      </c>
      <c r="B98" s="330" t="s">
        <v>329</v>
      </c>
      <c r="C98" s="330" t="s">
        <v>335</v>
      </c>
      <c r="D98" s="330" t="s">
        <v>161</v>
      </c>
      <c r="E98" s="330">
        <v>1</v>
      </c>
      <c r="F98" s="332">
        <v>0.928</v>
      </c>
      <c r="G98" s="332">
        <f t="shared" si="2"/>
        <v>0.928</v>
      </c>
      <c r="H98" s="331"/>
    </row>
    <row r="99" ht="21" customHeight="1" spans="1:8">
      <c r="A99" s="329">
        <v>12</v>
      </c>
      <c r="B99" s="330" t="s">
        <v>336</v>
      </c>
      <c r="C99" s="330"/>
      <c r="D99" s="330" t="s">
        <v>170</v>
      </c>
      <c r="E99" s="330">
        <v>1</v>
      </c>
      <c r="F99" s="332">
        <v>0</v>
      </c>
      <c r="G99" s="332">
        <f t="shared" si="2"/>
        <v>0</v>
      </c>
      <c r="H99" s="331"/>
    </row>
    <row r="100" ht="21" customHeight="1" spans="1:8">
      <c r="A100" s="329">
        <v>13</v>
      </c>
      <c r="B100" s="330" t="s">
        <v>337</v>
      </c>
      <c r="C100" s="330" t="s">
        <v>338</v>
      </c>
      <c r="D100" s="330" t="s">
        <v>170</v>
      </c>
      <c r="E100" s="330">
        <v>2</v>
      </c>
      <c r="F100" s="332">
        <v>9.28</v>
      </c>
      <c r="G100" s="332">
        <f t="shared" si="2"/>
        <v>18.56</v>
      </c>
      <c r="H100" s="331" t="s">
        <v>339</v>
      </c>
    </row>
    <row r="101" ht="24.75" spans="1:8">
      <c r="A101" s="329">
        <v>14</v>
      </c>
      <c r="B101" s="330" t="s">
        <v>340</v>
      </c>
      <c r="C101" s="330" t="s">
        <v>341</v>
      </c>
      <c r="D101" s="330" t="s">
        <v>161</v>
      </c>
      <c r="E101" s="330">
        <v>2</v>
      </c>
      <c r="F101" s="332">
        <v>0.638</v>
      </c>
      <c r="G101" s="332">
        <f t="shared" si="2"/>
        <v>1.276</v>
      </c>
      <c r="H101" s="331" t="s">
        <v>342</v>
      </c>
    </row>
    <row r="102" ht="24.75" spans="1:8">
      <c r="A102" s="329">
        <v>15</v>
      </c>
      <c r="B102" s="330" t="s">
        <v>343</v>
      </c>
      <c r="C102" s="330" t="s">
        <v>341</v>
      </c>
      <c r="D102" s="330" t="s">
        <v>161</v>
      </c>
      <c r="E102" s="330">
        <v>2</v>
      </c>
      <c r="F102" s="332">
        <v>0.638</v>
      </c>
      <c r="G102" s="332">
        <f t="shared" si="2"/>
        <v>1.276</v>
      </c>
      <c r="H102" s="331" t="s">
        <v>342</v>
      </c>
    </row>
    <row r="103" ht="21" customHeight="1" spans="1:8">
      <c r="A103" s="329">
        <v>16</v>
      </c>
      <c r="B103" s="330" t="s">
        <v>344</v>
      </c>
      <c r="C103" s="330" t="s">
        <v>345</v>
      </c>
      <c r="D103" s="330" t="s">
        <v>170</v>
      </c>
      <c r="E103" s="330">
        <v>1</v>
      </c>
      <c r="F103" s="332">
        <v>0.406</v>
      </c>
      <c r="G103" s="332">
        <f t="shared" si="2"/>
        <v>0.406</v>
      </c>
      <c r="H103" s="331" t="s">
        <v>346</v>
      </c>
    </row>
    <row r="104" ht="21" customHeight="1" spans="1:8">
      <c r="A104" s="329">
        <v>17</v>
      </c>
      <c r="B104" s="330" t="s">
        <v>347</v>
      </c>
      <c r="C104" s="330" t="s">
        <v>348</v>
      </c>
      <c r="D104" s="330" t="s">
        <v>161</v>
      </c>
      <c r="E104" s="330">
        <v>1</v>
      </c>
      <c r="F104" s="332">
        <v>1.218</v>
      </c>
      <c r="G104" s="332">
        <f t="shared" si="2"/>
        <v>1.218</v>
      </c>
      <c r="H104" s="331" t="s">
        <v>346</v>
      </c>
    </row>
    <row r="105" ht="21" customHeight="1" spans="1:8">
      <c r="A105" s="329">
        <v>18</v>
      </c>
      <c r="B105" s="330" t="s">
        <v>349</v>
      </c>
      <c r="C105" s="330" t="s">
        <v>348</v>
      </c>
      <c r="D105" s="330" t="s">
        <v>161</v>
      </c>
      <c r="E105" s="330">
        <v>1</v>
      </c>
      <c r="F105" s="332">
        <v>1.218</v>
      </c>
      <c r="G105" s="332">
        <f t="shared" si="2"/>
        <v>1.218</v>
      </c>
      <c r="H105" s="331" t="s">
        <v>346</v>
      </c>
    </row>
    <row r="106" ht="21" customHeight="1" spans="1:8">
      <c r="A106" s="329">
        <v>19</v>
      </c>
      <c r="B106" s="330" t="s">
        <v>350</v>
      </c>
      <c r="C106" s="330" t="s">
        <v>351</v>
      </c>
      <c r="D106" s="330" t="s">
        <v>170</v>
      </c>
      <c r="E106" s="330">
        <v>1</v>
      </c>
      <c r="F106" s="332">
        <v>0.696</v>
      </c>
      <c r="G106" s="332">
        <f t="shared" si="2"/>
        <v>0.696</v>
      </c>
      <c r="H106" s="331" t="s">
        <v>346</v>
      </c>
    </row>
    <row r="107" ht="21" customHeight="1" spans="1:8">
      <c r="A107" s="329">
        <v>20</v>
      </c>
      <c r="B107" s="330" t="s">
        <v>352</v>
      </c>
      <c r="C107" s="330" t="s">
        <v>353</v>
      </c>
      <c r="D107" s="330" t="s">
        <v>170</v>
      </c>
      <c r="E107" s="330">
        <v>2</v>
      </c>
      <c r="F107" s="332">
        <v>0.58</v>
      </c>
      <c r="G107" s="332">
        <f t="shared" si="2"/>
        <v>1.16</v>
      </c>
      <c r="H107" s="331" t="s">
        <v>354</v>
      </c>
    </row>
    <row r="108" ht="21" customHeight="1" spans="1:8">
      <c r="A108" s="329">
        <v>21</v>
      </c>
      <c r="B108" s="330" t="s">
        <v>355</v>
      </c>
      <c r="C108" s="330" t="s">
        <v>356</v>
      </c>
      <c r="D108" s="330" t="s">
        <v>161</v>
      </c>
      <c r="E108" s="330">
        <v>1</v>
      </c>
      <c r="F108" s="332">
        <v>0.928</v>
      </c>
      <c r="G108" s="332">
        <f t="shared" si="2"/>
        <v>0.928</v>
      </c>
      <c r="H108" s="331" t="s">
        <v>357</v>
      </c>
    </row>
    <row r="109" ht="21" customHeight="1" spans="1:8">
      <c r="A109" s="329">
        <v>22</v>
      </c>
      <c r="B109" s="330" t="s">
        <v>358</v>
      </c>
      <c r="C109" s="330" t="s">
        <v>359</v>
      </c>
      <c r="D109" s="330" t="s">
        <v>161</v>
      </c>
      <c r="E109" s="330">
        <v>1</v>
      </c>
      <c r="F109" s="332">
        <v>1.392</v>
      </c>
      <c r="G109" s="332">
        <f t="shared" si="2"/>
        <v>1.392</v>
      </c>
      <c r="H109" s="331"/>
    </row>
    <row r="110" ht="21" customHeight="1" spans="1:8">
      <c r="A110" s="329">
        <v>23</v>
      </c>
      <c r="B110" s="330" t="s">
        <v>360</v>
      </c>
      <c r="C110" s="330"/>
      <c r="D110" s="330" t="s">
        <v>170</v>
      </c>
      <c r="E110" s="330">
        <v>1</v>
      </c>
      <c r="F110" s="332">
        <v>0</v>
      </c>
      <c r="G110" s="332">
        <f t="shared" si="2"/>
        <v>0</v>
      </c>
      <c r="H110" s="331"/>
    </row>
    <row r="111" ht="21" customHeight="1" spans="1:8">
      <c r="A111" s="329">
        <v>24</v>
      </c>
      <c r="B111" s="330" t="s">
        <v>361</v>
      </c>
      <c r="C111" s="330" t="s">
        <v>359</v>
      </c>
      <c r="D111" s="330" t="s">
        <v>161</v>
      </c>
      <c r="E111" s="330">
        <v>1</v>
      </c>
      <c r="F111" s="332">
        <v>0.928</v>
      </c>
      <c r="G111" s="332">
        <f t="shared" si="2"/>
        <v>0.928</v>
      </c>
      <c r="H111" s="331"/>
    </row>
    <row r="112" ht="21" customHeight="1" spans="1:8">
      <c r="A112" s="329">
        <v>25</v>
      </c>
      <c r="B112" s="330" t="s">
        <v>362</v>
      </c>
      <c r="C112" s="330"/>
      <c r="D112" s="330" t="s">
        <v>170</v>
      </c>
      <c r="E112" s="330">
        <v>1</v>
      </c>
      <c r="F112" s="332">
        <v>0.0348</v>
      </c>
      <c r="G112" s="332">
        <f t="shared" si="2"/>
        <v>0.0348</v>
      </c>
      <c r="H112" s="335"/>
    </row>
    <row r="113" ht="21" customHeight="1" spans="1:8">
      <c r="A113" s="329">
        <v>26</v>
      </c>
      <c r="B113" s="330" t="s">
        <v>363</v>
      </c>
      <c r="C113" s="330"/>
      <c r="D113" s="330" t="s">
        <v>170</v>
      </c>
      <c r="E113" s="330">
        <v>2</v>
      </c>
      <c r="F113" s="332">
        <v>0.0232</v>
      </c>
      <c r="G113" s="332">
        <f t="shared" si="2"/>
        <v>0.0464</v>
      </c>
      <c r="H113" s="335"/>
    </row>
    <row r="114" ht="21" customHeight="1" spans="1:8">
      <c r="A114" s="329">
        <v>27</v>
      </c>
      <c r="B114" s="330" t="s">
        <v>364</v>
      </c>
      <c r="C114" s="330"/>
      <c r="D114" s="330" t="s">
        <v>161</v>
      </c>
      <c r="E114" s="330">
        <v>1</v>
      </c>
      <c r="F114" s="332">
        <v>0</v>
      </c>
      <c r="G114" s="332">
        <f t="shared" si="2"/>
        <v>0</v>
      </c>
      <c r="H114" s="335"/>
    </row>
    <row r="115" ht="21" customHeight="1" spans="1:8">
      <c r="A115" s="329">
        <v>28</v>
      </c>
      <c r="B115" s="330" t="s">
        <v>365</v>
      </c>
      <c r="C115" s="330"/>
      <c r="D115" s="330" t="s">
        <v>229</v>
      </c>
      <c r="E115" s="330">
        <v>4</v>
      </c>
      <c r="F115" s="332">
        <v>0.0232</v>
      </c>
      <c r="G115" s="332">
        <f t="shared" si="2"/>
        <v>0.0928</v>
      </c>
      <c r="H115" s="335"/>
    </row>
    <row r="116" ht="21" customHeight="1" spans="1:8">
      <c r="A116" s="329" t="s">
        <v>366</v>
      </c>
      <c r="B116" s="330"/>
      <c r="C116" s="330"/>
      <c r="D116" s="330"/>
      <c r="E116" s="330"/>
      <c r="F116" s="332"/>
      <c r="G116" s="332"/>
      <c r="H116" s="331"/>
    </row>
    <row r="117" ht="25.5" spans="1:8">
      <c r="A117" s="329">
        <v>1</v>
      </c>
      <c r="B117" s="330" t="s">
        <v>367</v>
      </c>
      <c r="C117" s="330" t="s">
        <v>368</v>
      </c>
      <c r="D117" s="330" t="s">
        <v>161</v>
      </c>
      <c r="E117" s="330">
        <v>1</v>
      </c>
      <c r="F117" s="332">
        <v>32.32</v>
      </c>
      <c r="G117" s="332">
        <f t="shared" si="2"/>
        <v>32.32</v>
      </c>
      <c r="H117" s="331"/>
    </row>
    <row r="118" ht="18.75" customHeight="1" spans="1:8">
      <c r="A118" s="329">
        <v>2</v>
      </c>
      <c r="B118" s="330" t="s">
        <v>369</v>
      </c>
      <c r="C118" s="330" t="s">
        <v>370</v>
      </c>
      <c r="D118" s="330" t="s">
        <v>161</v>
      </c>
      <c r="E118" s="330">
        <v>1</v>
      </c>
      <c r="F118" s="332">
        <v>0.696</v>
      </c>
      <c r="G118" s="332">
        <f t="shared" si="2"/>
        <v>0.696</v>
      </c>
      <c r="H118" s="331"/>
    </row>
    <row r="119" ht="25.5" spans="1:8">
      <c r="A119" s="329">
        <v>3</v>
      </c>
      <c r="B119" s="330" t="s">
        <v>371</v>
      </c>
      <c r="C119" s="330" t="s">
        <v>372</v>
      </c>
      <c r="D119" s="330" t="s">
        <v>161</v>
      </c>
      <c r="E119" s="330">
        <v>1</v>
      </c>
      <c r="F119" s="332">
        <v>9.28</v>
      </c>
      <c r="G119" s="332">
        <f t="shared" si="2"/>
        <v>9.28</v>
      </c>
      <c r="H119" s="331"/>
    </row>
    <row r="120" ht="25.5" spans="1:8">
      <c r="A120" s="329">
        <v>4</v>
      </c>
      <c r="B120" s="330" t="s">
        <v>373</v>
      </c>
      <c r="C120" s="330" t="s">
        <v>374</v>
      </c>
      <c r="D120" s="330" t="s">
        <v>161</v>
      </c>
      <c r="E120" s="330">
        <v>1</v>
      </c>
      <c r="F120" s="332">
        <v>7.192</v>
      </c>
      <c r="G120" s="332">
        <f t="shared" si="2"/>
        <v>7.192</v>
      </c>
      <c r="H120" s="331"/>
    </row>
    <row r="121" ht="36.75" spans="1:8">
      <c r="A121" s="329">
        <v>5</v>
      </c>
      <c r="B121" s="330" t="s">
        <v>375</v>
      </c>
      <c r="C121" s="330" t="s">
        <v>376</v>
      </c>
      <c r="D121" s="330" t="s">
        <v>170</v>
      </c>
      <c r="E121" s="330">
        <v>1</v>
      </c>
      <c r="F121" s="332">
        <v>13.18</v>
      </c>
      <c r="G121" s="332">
        <f t="shared" si="2"/>
        <v>13.18</v>
      </c>
      <c r="H121" s="331" t="s">
        <v>377</v>
      </c>
    </row>
    <row r="122" ht="24.75" spans="1:8">
      <c r="A122" s="329">
        <v>6</v>
      </c>
      <c r="B122" s="330" t="s">
        <v>378</v>
      </c>
      <c r="C122" s="330" t="s">
        <v>379</v>
      </c>
      <c r="D122" s="330" t="s">
        <v>161</v>
      </c>
      <c r="E122" s="330">
        <v>2</v>
      </c>
      <c r="F122" s="332">
        <v>2.436</v>
      </c>
      <c r="G122" s="332">
        <f t="shared" si="2"/>
        <v>4.872</v>
      </c>
      <c r="H122" s="331"/>
    </row>
    <row r="123" ht="21" customHeight="1" spans="1:8">
      <c r="A123" s="329">
        <v>7</v>
      </c>
      <c r="B123" s="330" t="s">
        <v>380</v>
      </c>
      <c r="C123" s="330" t="s">
        <v>381</v>
      </c>
      <c r="D123" s="330" t="s">
        <v>161</v>
      </c>
      <c r="E123" s="330">
        <v>2</v>
      </c>
      <c r="F123" s="332">
        <v>5.22</v>
      </c>
      <c r="G123" s="332">
        <f t="shared" si="2"/>
        <v>10.44</v>
      </c>
      <c r="H123" s="331"/>
    </row>
    <row r="124" ht="21" customHeight="1" spans="1:8">
      <c r="A124" s="329" t="s">
        <v>382</v>
      </c>
      <c r="B124" s="330"/>
      <c r="C124" s="330"/>
      <c r="D124" s="330"/>
      <c r="E124" s="330"/>
      <c r="F124" s="332"/>
      <c r="G124" s="332"/>
      <c r="H124" s="331"/>
    </row>
    <row r="125" ht="21" customHeight="1" spans="1:8">
      <c r="A125" s="329">
        <v>1</v>
      </c>
      <c r="B125" s="330" t="s">
        <v>383</v>
      </c>
      <c r="C125" s="330" t="s">
        <v>384</v>
      </c>
      <c r="D125" s="330" t="s">
        <v>170</v>
      </c>
      <c r="E125" s="330">
        <v>1</v>
      </c>
      <c r="F125" s="332">
        <v>155</v>
      </c>
      <c r="G125" s="332">
        <f t="shared" si="2"/>
        <v>155</v>
      </c>
      <c r="H125" s="331"/>
    </row>
    <row r="126" ht="21" customHeight="1" spans="1:8">
      <c r="A126" s="329">
        <v>2</v>
      </c>
      <c r="B126" s="330" t="s">
        <v>385</v>
      </c>
      <c r="C126" s="330" t="s">
        <v>386</v>
      </c>
      <c r="D126" s="330" t="s">
        <v>170</v>
      </c>
      <c r="E126" s="330">
        <v>1</v>
      </c>
      <c r="F126" s="332">
        <v>0</v>
      </c>
      <c r="G126" s="332">
        <f t="shared" si="2"/>
        <v>0</v>
      </c>
      <c r="H126" s="331"/>
    </row>
    <row r="127" ht="21" customHeight="1" spans="1:8">
      <c r="A127" s="329">
        <v>3</v>
      </c>
      <c r="B127" s="330" t="s">
        <v>387</v>
      </c>
      <c r="C127" s="330" t="s">
        <v>388</v>
      </c>
      <c r="D127" s="330" t="s">
        <v>161</v>
      </c>
      <c r="E127" s="330">
        <v>2</v>
      </c>
      <c r="F127" s="332">
        <v>0</v>
      </c>
      <c r="G127" s="332">
        <f t="shared" si="2"/>
        <v>0</v>
      </c>
      <c r="H127" s="331"/>
    </row>
    <row r="128" ht="21" customHeight="1" spans="1:8">
      <c r="A128" s="329">
        <v>4</v>
      </c>
      <c r="B128" s="330" t="s">
        <v>389</v>
      </c>
      <c r="C128" s="330" t="s">
        <v>390</v>
      </c>
      <c r="D128" s="330" t="s">
        <v>161</v>
      </c>
      <c r="E128" s="330">
        <v>2</v>
      </c>
      <c r="F128" s="332">
        <v>0</v>
      </c>
      <c r="G128" s="332">
        <f t="shared" si="2"/>
        <v>0</v>
      </c>
      <c r="H128" s="331"/>
    </row>
    <row r="129" ht="21" customHeight="1" spans="1:8">
      <c r="A129" s="329">
        <v>5</v>
      </c>
      <c r="B129" s="330" t="s">
        <v>391</v>
      </c>
      <c r="C129" s="330" t="s">
        <v>392</v>
      </c>
      <c r="D129" s="330" t="s">
        <v>170</v>
      </c>
      <c r="E129" s="330">
        <v>1</v>
      </c>
      <c r="F129" s="332">
        <v>0</v>
      </c>
      <c r="G129" s="332">
        <f t="shared" si="2"/>
        <v>0</v>
      </c>
      <c r="H129" s="331"/>
    </row>
    <row r="130" ht="21" customHeight="1" spans="1:8">
      <c r="A130" s="329">
        <v>6</v>
      </c>
      <c r="B130" s="330" t="s">
        <v>393</v>
      </c>
      <c r="C130" s="330" t="s">
        <v>394</v>
      </c>
      <c r="D130" s="330" t="s">
        <v>170</v>
      </c>
      <c r="E130" s="330">
        <v>1</v>
      </c>
      <c r="F130" s="332">
        <v>0</v>
      </c>
      <c r="G130" s="332">
        <f t="shared" si="2"/>
        <v>0</v>
      </c>
      <c r="H130" s="331"/>
    </row>
    <row r="131" ht="21" customHeight="1" spans="1:8">
      <c r="A131" s="329">
        <v>7</v>
      </c>
      <c r="B131" s="330" t="s">
        <v>395</v>
      </c>
      <c r="C131" s="330"/>
      <c r="D131" s="330" t="s">
        <v>170</v>
      </c>
      <c r="E131" s="330">
        <v>1</v>
      </c>
      <c r="F131" s="332">
        <v>0</v>
      </c>
      <c r="G131" s="332">
        <f t="shared" si="2"/>
        <v>0</v>
      </c>
      <c r="H131" s="331"/>
    </row>
    <row r="132" ht="21" customHeight="1" spans="1:8">
      <c r="A132" s="329">
        <v>8</v>
      </c>
      <c r="B132" s="330" t="s">
        <v>396</v>
      </c>
      <c r="C132" s="330"/>
      <c r="D132" s="330" t="s">
        <v>170</v>
      </c>
      <c r="E132" s="330">
        <v>1</v>
      </c>
      <c r="F132" s="332">
        <v>0</v>
      </c>
      <c r="G132" s="332">
        <f t="shared" si="2"/>
        <v>0</v>
      </c>
      <c r="H132" s="331"/>
    </row>
    <row r="133" ht="21" customHeight="1" spans="1:8">
      <c r="A133" s="329">
        <v>9</v>
      </c>
      <c r="B133" s="330" t="s">
        <v>397</v>
      </c>
      <c r="C133" s="330"/>
      <c r="D133" s="330" t="s">
        <v>170</v>
      </c>
      <c r="E133" s="330">
        <v>1</v>
      </c>
      <c r="F133" s="332">
        <v>0</v>
      </c>
      <c r="G133" s="332">
        <f t="shared" si="2"/>
        <v>0</v>
      </c>
      <c r="H133" s="331"/>
    </row>
    <row r="134" ht="21" customHeight="1" spans="1:8">
      <c r="A134" s="329">
        <v>10</v>
      </c>
      <c r="B134" s="330" t="s">
        <v>398</v>
      </c>
      <c r="C134" s="330"/>
      <c r="D134" s="330" t="s">
        <v>170</v>
      </c>
      <c r="E134" s="330">
        <v>1</v>
      </c>
      <c r="F134" s="332">
        <v>0</v>
      </c>
      <c r="G134" s="332">
        <f t="shared" si="2"/>
        <v>0</v>
      </c>
      <c r="H134" s="331"/>
    </row>
    <row r="135" ht="21" customHeight="1" spans="1:8">
      <c r="A135" s="329">
        <v>11</v>
      </c>
      <c r="B135" s="330" t="s">
        <v>399</v>
      </c>
      <c r="C135" s="330"/>
      <c r="D135" s="330" t="s">
        <v>170</v>
      </c>
      <c r="E135" s="330">
        <v>1</v>
      </c>
      <c r="F135" s="332">
        <v>0</v>
      </c>
      <c r="G135" s="332">
        <f t="shared" si="2"/>
        <v>0</v>
      </c>
      <c r="H135" s="331"/>
    </row>
    <row r="136" ht="24.75" customHeight="1" spans="1:8">
      <c r="A136" s="336" t="s">
        <v>400</v>
      </c>
      <c r="B136" s="337"/>
      <c r="C136" s="337"/>
      <c r="D136" s="337"/>
      <c r="E136" s="337"/>
      <c r="F136" s="338"/>
      <c r="G136" s="338">
        <f>SUM(G15:G135)</f>
        <v>639.37144</v>
      </c>
      <c r="H136" s="339"/>
    </row>
    <row r="137" ht="25.5" customHeight="1" spans="1:8">
      <c r="A137" s="340"/>
      <c r="B137" s="340"/>
      <c r="C137" s="340"/>
      <c r="D137" s="340"/>
      <c r="E137" s="340"/>
      <c r="F137" s="341"/>
      <c r="G137" s="341"/>
      <c r="H137" s="340"/>
    </row>
    <row r="138" ht="20.25" customHeight="1" spans="1:8">
      <c r="A138" s="323" t="s">
        <v>401</v>
      </c>
      <c r="B138" s="323"/>
      <c r="C138" s="323"/>
      <c r="D138" s="323"/>
      <c r="E138" s="323"/>
      <c r="F138" s="323"/>
      <c r="G138" s="323"/>
      <c r="H138" s="323"/>
    </row>
    <row r="139" s="305" customFormat="1" ht="27.75" customHeight="1" spans="1:8">
      <c r="A139" s="324" t="s">
        <v>150</v>
      </c>
      <c r="B139" s="325" t="s">
        <v>151</v>
      </c>
      <c r="C139" s="326" t="s">
        <v>152</v>
      </c>
      <c r="D139" s="326" t="s">
        <v>153</v>
      </c>
      <c r="E139" s="326" t="s">
        <v>154</v>
      </c>
      <c r="F139" s="327" t="s">
        <v>155</v>
      </c>
      <c r="G139" s="327" t="s">
        <v>156</v>
      </c>
      <c r="H139" s="328" t="s">
        <v>157</v>
      </c>
    </row>
    <row r="140" ht="21" customHeight="1" spans="1:8">
      <c r="A140" s="329">
        <v>1</v>
      </c>
      <c r="B140" s="330" t="s">
        <v>402</v>
      </c>
      <c r="C140" s="330" t="s">
        <v>403</v>
      </c>
      <c r="D140" s="330" t="s">
        <v>161</v>
      </c>
      <c r="E140" s="330">
        <v>8</v>
      </c>
      <c r="F140" s="332">
        <v>9.45</v>
      </c>
      <c r="G140" s="332">
        <f>E140*F140</f>
        <v>75.6</v>
      </c>
      <c r="H140" s="331"/>
    </row>
    <row r="141" ht="21" customHeight="1" spans="1:8">
      <c r="A141" s="329">
        <v>2</v>
      </c>
      <c r="B141" s="330" t="s">
        <v>404</v>
      </c>
      <c r="C141" s="330" t="s">
        <v>405</v>
      </c>
      <c r="D141" s="330" t="s">
        <v>161</v>
      </c>
      <c r="E141" s="330">
        <v>1</v>
      </c>
      <c r="F141" s="332">
        <v>5.4</v>
      </c>
      <c r="G141" s="332">
        <f t="shared" ref="G141:G156" si="3">E141*F141</f>
        <v>5.4</v>
      </c>
      <c r="H141" s="331" t="s">
        <v>406</v>
      </c>
    </row>
    <row r="142" ht="21" customHeight="1" spans="1:8">
      <c r="A142" s="329">
        <v>3</v>
      </c>
      <c r="B142" s="330" t="s">
        <v>407</v>
      </c>
      <c r="C142" s="330" t="s">
        <v>408</v>
      </c>
      <c r="D142" s="330" t="s">
        <v>161</v>
      </c>
      <c r="E142" s="330">
        <v>2</v>
      </c>
      <c r="F142" s="332">
        <v>10.8</v>
      </c>
      <c r="G142" s="332">
        <f t="shared" si="3"/>
        <v>21.6</v>
      </c>
      <c r="H142" s="331" t="s">
        <v>409</v>
      </c>
    </row>
    <row r="143" ht="21" customHeight="1" spans="1:8">
      <c r="A143" s="329">
        <v>4</v>
      </c>
      <c r="B143" s="330" t="s">
        <v>410</v>
      </c>
      <c r="C143" s="330" t="s">
        <v>411</v>
      </c>
      <c r="D143" s="330" t="s">
        <v>161</v>
      </c>
      <c r="E143" s="330">
        <v>9</v>
      </c>
      <c r="F143" s="332">
        <v>4.32</v>
      </c>
      <c r="G143" s="332">
        <f t="shared" si="3"/>
        <v>38.88</v>
      </c>
      <c r="H143" s="331"/>
    </row>
    <row r="144" ht="21" customHeight="1" spans="1:8">
      <c r="A144" s="329">
        <v>5</v>
      </c>
      <c r="B144" s="330" t="s">
        <v>412</v>
      </c>
      <c r="C144" s="330" t="s">
        <v>413</v>
      </c>
      <c r="D144" s="330" t="s">
        <v>414</v>
      </c>
      <c r="E144" s="330">
        <v>4</v>
      </c>
      <c r="F144" s="332">
        <v>0.4725</v>
      </c>
      <c r="G144" s="332">
        <f t="shared" si="3"/>
        <v>1.89</v>
      </c>
      <c r="H144" s="331" t="s">
        <v>415</v>
      </c>
    </row>
    <row r="145" ht="21" customHeight="1" spans="1:8">
      <c r="A145" s="329">
        <v>6</v>
      </c>
      <c r="B145" s="330" t="s">
        <v>416</v>
      </c>
      <c r="C145" s="330" t="s">
        <v>417</v>
      </c>
      <c r="D145" s="330" t="s">
        <v>161</v>
      </c>
      <c r="E145" s="330">
        <v>2</v>
      </c>
      <c r="F145" s="332">
        <v>2.7</v>
      </c>
      <c r="G145" s="332">
        <f t="shared" si="3"/>
        <v>5.4</v>
      </c>
      <c r="H145" s="331"/>
    </row>
    <row r="146" ht="21" customHeight="1" spans="1:8">
      <c r="A146" s="329">
        <v>7</v>
      </c>
      <c r="B146" s="330" t="s">
        <v>418</v>
      </c>
      <c r="C146" s="330" t="s">
        <v>419</v>
      </c>
      <c r="D146" s="330" t="s">
        <v>161</v>
      </c>
      <c r="E146" s="330">
        <v>4</v>
      </c>
      <c r="F146" s="332">
        <v>0.0675</v>
      </c>
      <c r="G146" s="332">
        <f t="shared" si="3"/>
        <v>0.27</v>
      </c>
      <c r="H146" s="331" t="s">
        <v>420</v>
      </c>
    </row>
    <row r="147" ht="21" customHeight="1" spans="1:8">
      <c r="A147" s="329">
        <v>8</v>
      </c>
      <c r="B147" s="330" t="s">
        <v>421</v>
      </c>
      <c r="C147" s="330" t="s">
        <v>417</v>
      </c>
      <c r="D147" s="330" t="s">
        <v>161</v>
      </c>
      <c r="E147" s="330">
        <v>2</v>
      </c>
      <c r="F147" s="332">
        <v>2.7</v>
      </c>
      <c r="G147" s="332">
        <f t="shared" si="3"/>
        <v>5.4</v>
      </c>
      <c r="H147" s="331"/>
    </row>
    <row r="148" ht="21" customHeight="1" spans="1:8">
      <c r="A148" s="329">
        <v>9</v>
      </c>
      <c r="B148" s="330" t="s">
        <v>422</v>
      </c>
      <c r="C148" s="330" t="s">
        <v>423</v>
      </c>
      <c r="D148" s="330" t="s">
        <v>161</v>
      </c>
      <c r="E148" s="330">
        <v>12</v>
      </c>
      <c r="F148" s="332">
        <v>0.0675</v>
      </c>
      <c r="G148" s="332">
        <f t="shared" si="3"/>
        <v>0.81</v>
      </c>
      <c r="H148" s="331" t="s">
        <v>420</v>
      </c>
    </row>
    <row r="149" ht="21" customHeight="1" spans="1:8">
      <c r="A149" s="329">
        <v>10</v>
      </c>
      <c r="B149" s="330" t="s">
        <v>424</v>
      </c>
      <c r="C149" s="330" t="s">
        <v>417</v>
      </c>
      <c r="D149" s="330" t="s">
        <v>161</v>
      </c>
      <c r="E149" s="330">
        <v>2</v>
      </c>
      <c r="F149" s="332">
        <v>2.7</v>
      </c>
      <c r="G149" s="332">
        <f t="shared" si="3"/>
        <v>5.4</v>
      </c>
      <c r="H149" s="331"/>
    </row>
    <row r="150" ht="21" customHeight="1" spans="1:8">
      <c r="A150" s="329">
        <v>11</v>
      </c>
      <c r="B150" s="330" t="s">
        <v>425</v>
      </c>
      <c r="C150" s="330" t="s">
        <v>426</v>
      </c>
      <c r="D150" s="330" t="s">
        <v>161</v>
      </c>
      <c r="E150" s="330">
        <v>2</v>
      </c>
      <c r="F150" s="332">
        <v>0.0675</v>
      </c>
      <c r="G150" s="332">
        <f t="shared" si="3"/>
        <v>0.135</v>
      </c>
      <c r="H150" s="331"/>
    </row>
    <row r="151" ht="21" customHeight="1" spans="1:8">
      <c r="A151" s="329">
        <v>12</v>
      </c>
      <c r="B151" s="330" t="s">
        <v>427</v>
      </c>
      <c r="C151" s="330" t="s">
        <v>428</v>
      </c>
      <c r="D151" s="330" t="s">
        <v>161</v>
      </c>
      <c r="E151" s="330">
        <v>1</v>
      </c>
      <c r="F151" s="332">
        <v>2.7</v>
      </c>
      <c r="G151" s="332">
        <f t="shared" si="3"/>
        <v>2.7</v>
      </c>
      <c r="H151" s="331"/>
    </row>
    <row r="152" ht="21" customHeight="1" spans="1:8">
      <c r="A152" s="329">
        <v>13</v>
      </c>
      <c r="B152" s="330" t="s">
        <v>429</v>
      </c>
      <c r="C152" s="330" t="s">
        <v>428</v>
      </c>
      <c r="D152" s="330" t="s">
        <v>161</v>
      </c>
      <c r="E152" s="330">
        <v>1</v>
      </c>
      <c r="F152" s="332">
        <v>2.7</v>
      </c>
      <c r="G152" s="332">
        <f t="shared" si="3"/>
        <v>2.7</v>
      </c>
      <c r="H152" s="331"/>
    </row>
    <row r="153" ht="27" customHeight="1" spans="1:8">
      <c r="A153" s="329">
        <v>14</v>
      </c>
      <c r="B153" s="330" t="s">
        <v>430</v>
      </c>
      <c r="C153" s="330" t="s">
        <v>426</v>
      </c>
      <c r="D153" s="330" t="s">
        <v>161</v>
      </c>
      <c r="E153" s="330">
        <v>2</v>
      </c>
      <c r="F153" s="332">
        <v>0.0675</v>
      </c>
      <c r="G153" s="332">
        <f t="shared" si="3"/>
        <v>0.135</v>
      </c>
      <c r="H153" s="331"/>
    </row>
    <row r="154" ht="21" customHeight="1" spans="1:8">
      <c r="A154" s="329">
        <v>15</v>
      </c>
      <c r="B154" s="330" t="s">
        <v>431</v>
      </c>
      <c r="C154" s="330" t="s">
        <v>417</v>
      </c>
      <c r="D154" s="330" t="s">
        <v>161</v>
      </c>
      <c r="E154" s="330">
        <v>1</v>
      </c>
      <c r="F154" s="332">
        <v>1.35</v>
      </c>
      <c r="G154" s="332">
        <f t="shared" si="3"/>
        <v>1.35</v>
      </c>
      <c r="H154" s="331"/>
    </row>
    <row r="155" ht="21" customHeight="1" spans="1:8">
      <c r="A155" s="329">
        <v>16</v>
      </c>
      <c r="B155" s="330" t="s">
        <v>432</v>
      </c>
      <c r="C155" s="330" t="s">
        <v>433</v>
      </c>
      <c r="D155" s="330" t="s">
        <v>161</v>
      </c>
      <c r="E155" s="330">
        <v>3</v>
      </c>
      <c r="F155" s="332">
        <v>0.243</v>
      </c>
      <c r="G155" s="332">
        <f t="shared" si="3"/>
        <v>0.729</v>
      </c>
      <c r="H155" s="331"/>
    </row>
    <row r="156" ht="51" spans="1:8">
      <c r="A156" s="329">
        <v>17</v>
      </c>
      <c r="B156" s="330" t="s">
        <v>434</v>
      </c>
      <c r="C156" s="330" t="s">
        <v>435</v>
      </c>
      <c r="D156" s="330" t="s">
        <v>161</v>
      </c>
      <c r="E156" s="330">
        <v>18</v>
      </c>
      <c r="F156" s="332">
        <v>0.3105</v>
      </c>
      <c r="G156" s="332">
        <f t="shared" si="3"/>
        <v>5.589</v>
      </c>
      <c r="H156" s="331"/>
    </row>
    <row r="157" ht="23.25" customHeight="1" spans="1:8">
      <c r="A157" s="336" t="s">
        <v>400</v>
      </c>
      <c r="B157" s="337"/>
      <c r="C157" s="337"/>
      <c r="D157" s="337"/>
      <c r="E157" s="337"/>
      <c r="F157" s="338"/>
      <c r="G157" s="338">
        <f>SUM(G140:G156)</f>
        <v>173.988</v>
      </c>
      <c r="H157" s="339"/>
    </row>
    <row r="158" ht="23.25" customHeight="1" spans="1:8">
      <c r="A158" s="340"/>
      <c r="B158" s="340"/>
      <c r="C158" s="340"/>
      <c r="D158" s="340"/>
      <c r="E158" s="340"/>
      <c r="F158" s="341"/>
      <c r="G158" s="341"/>
      <c r="H158" s="340"/>
    </row>
    <row r="159" ht="21" customHeight="1" spans="1:8">
      <c r="A159" s="342" t="s">
        <v>436</v>
      </c>
      <c r="B159" s="342"/>
      <c r="C159" s="342"/>
      <c r="D159" s="342"/>
      <c r="E159" s="342"/>
      <c r="F159" s="342"/>
      <c r="G159" s="342"/>
      <c r="H159" s="342"/>
    </row>
    <row r="160" ht="30" customHeight="1" spans="1:8">
      <c r="A160" s="324" t="s">
        <v>150</v>
      </c>
      <c r="B160" s="325" t="s">
        <v>151</v>
      </c>
      <c r="C160" s="326" t="s">
        <v>152</v>
      </c>
      <c r="D160" s="326" t="s">
        <v>153</v>
      </c>
      <c r="E160" s="326" t="s">
        <v>154</v>
      </c>
      <c r="F160" s="327" t="s">
        <v>155</v>
      </c>
      <c r="G160" s="327" t="s">
        <v>156</v>
      </c>
      <c r="H160" s="328" t="s">
        <v>157</v>
      </c>
    </row>
    <row r="161" ht="31.5" customHeight="1" spans="1:8">
      <c r="A161" s="329">
        <v>1</v>
      </c>
      <c r="B161" s="330" t="s">
        <v>437</v>
      </c>
      <c r="C161" s="330" t="s">
        <v>438</v>
      </c>
      <c r="D161" s="330" t="s">
        <v>170</v>
      </c>
      <c r="E161" s="330">
        <v>2</v>
      </c>
      <c r="F161" s="332">
        <v>0.45</v>
      </c>
      <c r="G161" s="332">
        <f>E161*F161</f>
        <v>0.9</v>
      </c>
      <c r="H161" s="331"/>
    </row>
    <row r="162" ht="21" customHeight="1" spans="1:8">
      <c r="A162" s="329">
        <v>2</v>
      </c>
      <c r="B162" s="330" t="s">
        <v>439</v>
      </c>
      <c r="C162" s="330" t="s">
        <v>440</v>
      </c>
      <c r="D162" s="330" t="s">
        <v>170</v>
      </c>
      <c r="E162" s="330">
        <v>1</v>
      </c>
      <c r="F162" s="332">
        <v>1.2</v>
      </c>
      <c r="G162" s="332">
        <f t="shared" ref="G162:G182" si="4">E162*F162</f>
        <v>1.2</v>
      </c>
      <c r="H162" s="331"/>
    </row>
    <row r="163" ht="21" customHeight="1" spans="1:8">
      <c r="A163" s="329">
        <v>3</v>
      </c>
      <c r="B163" s="330" t="s">
        <v>441</v>
      </c>
      <c r="C163" s="330" t="s">
        <v>442</v>
      </c>
      <c r="D163" s="330" t="s">
        <v>170</v>
      </c>
      <c r="E163" s="330">
        <v>4</v>
      </c>
      <c r="F163" s="332">
        <v>0.45</v>
      </c>
      <c r="G163" s="332">
        <f t="shared" si="4"/>
        <v>1.8</v>
      </c>
      <c r="H163" s="331"/>
    </row>
    <row r="164" ht="21" customHeight="1" spans="1:8">
      <c r="A164" s="329">
        <v>4</v>
      </c>
      <c r="B164" s="330" t="s">
        <v>443</v>
      </c>
      <c r="C164" s="330" t="s">
        <v>444</v>
      </c>
      <c r="D164" s="330" t="s">
        <v>170</v>
      </c>
      <c r="E164" s="330">
        <v>1</v>
      </c>
      <c r="F164" s="332">
        <v>0.68</v>
      </c>
      <c r="G164" s="332">
        <f t="shared" si="4"/>
        <v>0.68</v>
      </c>
      <c r="H164" s="331"/>
    </row>
    <row r="165" ht="21" customHeight="1" spans="1:8">
      <c r="A165" s="329">
        <v>5</v>
      </c>
      <c r="B165" s="330" t="s">
        <v>445</v>
      </c>
      <c r="C165" s="330" t="s">
        <v>446</v>
      </c>
      <c r="D165" s="330" t="s">
        <v>170</v>
      </c>
      <c r="E165" s="330">
        <v>1</v>
      </c>
      <c r="F165" s="332">
        <v>0.24</v>
      </c>
      <c r="G165" s="332">
        <f t="shared" si="4"/>
        <v>0.24</v>
      </c>
      <c r="H165" s="331"/>
    </row>
    <row r="166" ht="21" customHeight="1" spans="1:8">
      <c r="A166" s="329">
        <v>6</v>
      </c>
      <c r="B166" s="330" t="s">
        <v>447</v>
      </c>
      <c r="C166" s="330" t="s">
        <v>448</v>
      </c>
      <c r="D166" s="330" t="s">
        <v>170</v>
      </c>
      <c r="E166" s="330">
        <v>1</v>
      </c>
      <c r="F166" s="332">
        <v>1.2</v>
      </c>
      <c r="G166" s="332">
        <f t="shared" si="4"/>
        <v>1.2</v>
      </c>
      <c r="H166" s="331"/>
    </row>
    <row r="167" ht="21" customHeight="1" spans="1:8">
      <c r="A167" s="329">
        <v>7</v>
      </c>
      <c r="B167" s="330" t="s">
        <v>449</v>
      </c>
      <c r="C167" s="330" t="s">
        <v>450</v>
      </c>
      <c r="D167" s="330" t="s">
        <v>170</v>
      </c>
      <c r="E167" s="330">
        <v>2</v>
      </c>
      <c r="F167" s="332">
        <v>1</v>
      </c>
      <c r="G167" s="332">
        <f t="shared" si="4"/>
        <v>2</v>
      </c>
      <c r="H167" s="331"/>
    </row>
    <row r="168" ht="21" customHeight="1" spans="1:8">
      <c r="A168" s="329">
        <v>8</v>
      </c>
      <c r="B168" s="330" t="s">
        <v>451</v>
      </c>
      <c r="C168" s="330" t="s">
        <v>452</v>
      </c>
      <c r="D168" s="330" t="s">
        <v>170</v>
      </c>
      <c r="E168" s="330">
        <v>2</v>
      </c>
      <c r="F168" s="332">
        <v>2.1</v>
      </c>
      <c r="G168" s="332">
        <f t="shared" si="4"/>
        <v>4.2</v>
      </c>
      <c r="H168" s="331"/>
    </row>
    <row r="169" ht="21" customHeight="1" spans="1:8">
      <c r="A169" s="329">
        <v>9</v>
      </c>
      <c r="B169" s="330" t="s">
        <v>453</v>
      </c>
      <c r="C169" s="330" t="s">
        <v>454</v>
      </c>
      <c r="D169" s="330" t="s">
        <v>170</v>
      </c>
      <c r="E169" s="330">
        <v>1</v>
      </c>
      <c r="F169" s="332">
        <v>0</v>
      </c>
      <c r="G169" s="332">
        <f t="shared" si="4"/>
        <v>0</v>
      </c>
      <c r="H169" s="331"/>
    </row>
    <row r="170" ht="21" customHeight="1" spans="1:8">
      <c r="A170" s="329">
        <v>10</v>
      </c>
      <c r="B170" s="330" t="s">
        <v>455</v>
      </c>
      <c r="C170" s="330" t="s">
        <v>456</v>
      </c>
      <c r="D170" s="330" t="s">
        <v>170</v>
      </c>
      <c r="E170" s="330">
        <v>1</v>
      </c>
      <c r="F170" s="332">
        <v>1.5</v>
      </c>
      <c r="G170" s="332">
        <f t="shared" si="4"/>
        <v>1.5</v>
      </c>
      <c r="H170" s="331"/>
    </row>
    <row r="171" ht="21" customHeight="1" spans="1:8">
      <c r="A171" s="329">
        <v>11</v>
      </c>
      <c r="B171" s="330" t="s">
        <v>457</v>
      </c>
      <c r="C171" s="330" t="s">
        <v>458</v>
      </c>
      <c r="D171" s="330" t="s">
        <v>170</v>
      </c>
      <c r="E171" s="330">
        <v>1</v>
      </c>
      <c r="F171" s="332">
        <v>0.21</v>
      </c>
      <c r="G171" s="332">
        <f t="shared" si="4"/>
        <v>0.21</v>
      </c>
      <c r="H171" s="331"/>
    </row>
    <row r="172" ht="21" customHeight="1" spans="1:8">
      <c r="A172" s="329">
        <v>12</v>
      </c>
      <c r="B172" s="330" t="s">
        <v>459</v>
      </c>
      <c r="C172" s="330" t="s">
        <v>460</v>
      </c>
      <c r="D172" s="330" t="s">
        <v>170</v>
      </c>
      <c r="E172" s="330">
        <v>1</v>
      </c>
      <c r="F172" s="332"/>
      <c r="G172" s="332">
        <f t="shared" si="4"/>
        <v>0</v>
      </c>
      <c r="H172" s="331" t="s">
        <v>461</v>
      </c>
    </row>
    <row r="173" ht="38.25" spans="1:8">
      <c r="A173" s="329">
        <v>13</v>
      </c>
      <c r="B173" s="330" t="s">
        <v>462</v>
      </c>
      <c r="C173" s="330" t="s">
        <v>463</v>
      </c>
      <c r="D173" s="330" t="s">
        <v>170</v>
      </c>
      <c r="E173" s="330">
        <v>2</v>
      </c>
      <c r="F173" s="332">
        <v>5</v>
      </c>
      <c r="G173" s="332">
        <f t="shared" si="4"/>
        <v>10</v>
      </c>
      <c r="H173" s="331"/>
    </row>
    <row r="174" ht="21" customHeight="1" spans="1:8">
      <c r="A174" s="329" t="s">
        <v>464</v>
      </c>
      <c r="B174" s="330"/>
      <c r="C174" s="330"/>
      <c r="D174" s="330"/>
      <c r="E174" s="330"/>
      <c r="F174" s="332"/>
      <c r="G174" s="332"/>
      <c r="H174" s="331"/>
    </row>
    <row r="175" ht="21" customHeight="1" spans="1:8">
      <c r="A175" s="329">
        <v>1</v>
      </c>
      <c r="B175" s="330" t="s">
        <v>465</v>
      </c>
      <c r="C175" s="330" t="s">
        <v>466</v>
      </c>
      <c r="D175" s="330" t="s">
        <v>170</v>
      </c>
      <c r="E175" s="330">
        <v>9</v>
      </c>
      <c r="F175" s="332">
        <v>0.68</v>
      </c>
      <c r="G175" s="332">
        <f t="shared" si="4"/>
        <v>6.12</v>
      </c>
      <c r="H175" s="331"/>
    </row>
    <row r="176" ht="21" customHeight="1" spans="1:8">
      <c r="A176" s="329">
        <v>2</v>
      </c>
      <c r="B176" s="330" t="s">
        <v>467</v>
      </c>
      <c r="C176" s="330" t="s">
        <v>468</v>
      </c>
      <c r="D176" s="330" t="s">
        <v>170</v>
      </c>
      <c r="E176" s="330">
        <v>7</v>
      </c>
      <c r="F176" s="332">
        <v>0.58</v>
      </c>
      <c r="G176" s="332">
        <f t="shared" si="4"/>
        <v>4.06</v>
      </c>
      <c r="H176" s="331"/>
    </row>
    <row r="177" ht="21" customHeight="1" spans="1:8">
      <c r="A177" s="329">
        <v>3</v>
      </c>
      <c r="B177" s="330" t="s">
        <v>469</v>
      </c>
      <c r="C177" s="330" t="s">
        <v>470</v>
      </c>
      <c r="D177" s="330" t="s">
        <v>170</v>
      </c>
      <c r="E177" s="330">
        <v>1</v>
      </c>
      <c r="F177" s="332">
        <v>2.19</v>
      </c>
      <c r="G177" s="332">
        <f t="shared" si="4"/>
        <v>2.19</v>
      </c>
      <c r="H177" s="331"/>
    </row>
    <row r="178" ht="21" customHeight="1" spans="1:8">
      <c r="A178" s="329">
        <v>4</v>
      </c>
      <c r="B178" s="330" t="s">
        <v>471</v>
      </c>
      <c r="C178" s="330" t="s">
        <v>472</v>
      </c>
      <c r="D178" s="330" t="s">
        <v>170</v>
      </c>
      <c r="E178" s="330">
        <v>1</v>
      </c>
      <c r="F178" s="332">
        <v>3.43</v>
      </c>
      <c r="G178" s="332">
        <f t="shared" si="4"/>
        <v>3.43</v>
      </c>
      <c r="H178" s="331"/>
    </row>
    <row r="179" ht="21" customHeight="1" spans="1:8">
      <c r="A179" s="329">
        <v>5</v>
      </c>
      <c r="B179" s="330" t="s">
        <v>473</v>
      </c>
      <c r="C179" s="330" t="s">
        <v>474</v>
      </c>
      <c r="D179" s="330" t="s">
        <v>170</v>
      </c>
      <c r="E179" s="330">
        <v>2</v>
      </c>
      <c r="F179" s="332">
        <v>0.28</v>
      </c>
      <c r="G179" s="332">
        <f t="shared" si="4"/>
        <v>0.56</v>
      </c>
      <c r="H179" s="331"/>
    </row>
    <row r="180" ht="21" customHeight="1" spans="1:8">
      <c r="A180" s="329">
        <v>6</v>
      </c>
      <c r="B180" s="330" t="s">
        <v>475</v>
      </c>
      <c r="C180" s="330" t="s">
        <v>476</v>
      </c>
      <c r="D180" s="330" t="s">
        <v>414</v>
      </c>
      <c r="E180" s="330">
        <v>2000</v>
      </c>
      <c r="F180" s="332">
        <v>0.0005</v>
      </c>
      <c r="G180" s="332">
        <f t="shared" si="4"/>
        <v>1</v>
      </c>
      <c r="H180" s="331"/>
    </row>
    <row r="181" ht="21" customHeight="1" spans="1:8">
      <c r="A181" s="329">
        <v>7</v>
      </c>
      <c r="B181" s="330" t="s">
        <v>477</v>
      </c>
      <c r="C181" s="330" t="s">
        <v>478</v>
      </c>
      <c r="D181" s="330" t="s">
        <v>414</v>
      </c>
      <c r="E181" s="330">
        <v>2000</v>
      </c>
      <c r="F181" s="332">
        <v>0.001</v>
      </c>
      <c r="G181" s="332">
        <f t="shared" si="4"/>
        <v>2</v>
      </c>
      <c r="H181" s="331"/>
    </row>
    <row r="182" ht="21" customHeight="1" spans="1:8">
      <c r="A182" s="329">
        <v>8</v>
      </c>
      <c r="B182" s="330" t="s">
        <v>479</v>
      </c>
      <c r="C182" s="330" t="s">
        <v>480</v>
      </c>
      <c r="D182" s="330" t="s">
        <v>414</v>
      </c>
      <c r="E182" s="330">
        <v>100</v>
      </c>
      <c r="F182" s="332">
        <v>0.0015</v>
      </c>
      <c r="G182" s="332">
        <f t="shared" si="4"/>
        <v>0.15</v>
      </c>
      <c r="H182" s="331"/>
    </row>
    <row r="183" ht="22.5" customHeight="1" spans="1:8">
      <c r="A183" s="336" t="s">
        <v>400</v>
      </c>
      <c r="B183" s="337"/>
      <c r="C183" s="337"/>
      <c r="D183" s="337"/>
      <c r="E183" s="337"/>
      <c r="F183" s="338"/>
      <c r="G183" s="338">
        <f>SUM(G161:G182)</f>
        <v>43.44</v>
      </c>
      <c r="H183" s="339"/>
    </row>
    <row r="184" ht="21" customHeight="1" spans="1:8">
      <c r="A184" s="340"/>
      <c r="B184" s="340"/>
      <c r="C184" s="340"/>
      <c r="D184" s="340"/>
      <c r="E184" s="340"/>
      <c r="F184" s="341"/>
      <c r="G184" s="341"/>
      <c r="H184" s="340"/>
    </row>
    <row r="185" ht="21" customHeight="1" spans="1:8">
      <c r="A185" s="323" t="s">
        <v>481</v>
      </c>
      <c r="B185" s="323"/>
      <c r="C185" s="323"/>
      <c r="D185" s="323"/>
      <c r="E185" s="323"/>
      <c r="F185" s="323"/>
      <c r="G185" s="323"/>
      <c r="H185" s="323"/>
    </row>
    <row r="186" ht="30.75" customHeight="1" spans="1:8">
      <c r="A186" s="324" t="s">
        <v>150</v>
      </c>
      <c r="B186" s="325" t="s">
        <v>151</v>
      </c>
      <c r="C186" s="326" t="s">
        <v>152</v>
      </c>
      <c r="D186" s="326" t="s">
        <v>153</v>
      </c>
      <c r="E186" s="326" t="s">
        <v>154</v>
      </c>
      <c r="F186" s="327" t="s">
        <v>155</v>
      </c>
      <c r="G186" s="327" t="s">
        <v>156</v>
      </c>
      <c r="H186" s="328" t="s">
        <v>157</v>
      </c>
    </row>
    <row r="187" ht="21" customHeight="1" spans="1:8">
      <c r="A187" s="329" t="s">
        <v>482</v>
      </c>
      <c r="B187" s="330"/>
      <c r="C187" s="330"/>
      <c r="D187" s="330"/>
      <c r="E187" s="330"/>
      <c r="F187" s="330"/>
      <c r="G187" s="330"/>
      <c r="H187" s="331"/>
    </row>
    <row r="188" ht="51" spans="1:8">
      <c r="A188" s="329">
        <v>1</v>
      </c>
      <c r="B188" s="330" t="s">
        <v>483</v>
      </c>
      <c r="C188" s="330" t="s">
        <v>484</v>
      </c>
      <c r="D188" s="330" t="s">
        <v>170</v>
      </c>
      <c r="E188" s="330">
        <v>2</v>
      </c>
      <c r="F188" s="332">
        <v>3.33</v>
      </c>
      <c r="G188" s="332">
        <f>E188*F188</f>
        <v>6.66</v>
      </c>
      <c r="H188" s="331"/>
    </row>
    <row r="189" ht="63" spans="1:8">
      <c r="A189" s="329">
        <v>2</v>
      </c>
      <c r="B189" s="330" t="s">
        <v>485</v>
      </c>
      <c r="C189" s="330" t="s">
        <v>486</v>
      </c>
      <c r="D189" s="330" t="s">
        <v>170</v>
      </c>
      <c r="E189" s="330">
        <v>1</v>
      </c>
      <c r="F189" s="332">
        <v>2.775</v>
      </c>
      <c r="G189" s="332">
        <f t="shared" ref="G189:G209" si="5">E189*F189</f>
        <v>2.775</v>
      </c>
      <c r="H189" s="331"/>
    </row>
    <row r="190" ht="63" spans="1:8">
      <c r="A190" s="329">
        <v>3</v>
      </c>
      <c r="B190" s="330" t="s">
        <v>487</v>
      </c>
      <c r="C190" s="330" t="s">
        <v>488</v>
      </c>
      <c r="D190" s="330" t="s">
        <v>170</v>
      </c>
      <c r="E190" s="330">
        <v>2</v>
      </c>
      <c r="F190" s="332">
        <v>4.255</v>
      </c>
      <c r="G190" s="332">
        <f t="shared" si="5"/>
        <v>8.51</v>
      </c>
      <c r="H190" s="331"/>
    </row>
    <row r="191" ht="63" spans="1:8">
      <c r="A191" s="329">
        <v>4</v>
      </c>
      <c r="B191" s="330" t="s">
        <v>489</v>
      </c>
      <c r="C191" s="330" t="s">
        <v>490</v>
      </c>
      <c r="D191" s="330" t="s">
        <v>170</v>
      </c>
      <c r="E191" s="330">
        <v>1</v>
      </c>
      <c r="F191" s="332">
        <v>11.5625</v>
      </c>
      <c r="G191" s="332">
        <f t="shared" si="5"/>
        <v>11.5625</v>
      </c>
      <c r="H191" s="331"/>
    </row>
    <row r="192" ht="63" spans="1:8">
      <c r="A192" s="329">
        <v>5</v>
      </c>
      <c r="B192" s="330" t="s">
        <v>491</v>
      </c>
      <c r="C192" s="330" t="s">
        <v>492</v>
      </c>
      <c r="D192" s="330" t="s">
        <v>170</v>
      </c>
      <c r="E192" s="330">
        <v>3</v>
      </c>
      <c r="F192" s="332">
        <v>0.555</v>
      </c>
      <c r="G192" s="332">
        <f t="shared" si="5"/>
        <v>1.665</v>
      </c>
      <c r="H192" s="331"/>
    </row>
    <row r="193" ht="60" customHeight="1" spans="1:8">
      <c r="A193" s="329">
        <v>6</v>
      </c>
      <c r="B193" s="330" t="s">
        <v>491</v>
      </c>
      <c r="C193" s="330" t="s">
        <v>493</v>
      </c>
      <c r="D193" s="330" t="s">
        <v>170</v>
      </c>
      <c r="E193" s="330">
        <v>2</v>
      </c>
      <c r="F193" s="332">
        <v>0.82</v>
      </c>
      <c r="G193" s="332">
        <f t="shared" si="5"/>
        <v>1.64</v>
      </c>
      <c r="H193" s="331"/>
    </row>
    <row r="194" ht="24" spans="1:8">
      <c r="A194" s="329">
        <v>7</v>
      </c>
      <c r="B194" s="333" t="s">
        <v>494</v>
      </c>
      <c r="C194" s="333" t="s">
        <v>495</v>
      </c>
      <c r="D194" s="330" t="s">
        <v>170</v>
      </c>
      <c r="E194" s="330">
        <v>2</v>
      </c>
      <c r="F194" s="332">
        <v>1.5</v>
      </c>
      <c r="G194" s="332">
        <f t="shared" si="5"/>
        <v>3</v>
      </c>
      <c r="H194" s="331"/>
    </row>
    <row r="195" ht="38.25" spans="1:8">
      <c r="A195" s="329">
        <v>9</v>
      </c>
      <c r="B195" s="330" t="s">
        <v>496</v>
      </c>
      <c r="C195" s="330" t="s">
        <v>497</v>
      </c>
      <c r="D195" s="330" t="s">
        <v>170</v>
      </c>
      <c r="E195" s="330">
        <v>1</v>
      </c>
      <c r="F195" s="332">
        <v>5.735</v>
      </c>
      <c r="G195" s="332">
        <f t="shared" si="5"/>
        <v>5.735</v>
      </c>
      <c r="H195" s="331"/>
    </row>
    <row r="196" ht="25.5" spans="1:8">
      <c r="A196" s="329">
        <v>10</v>
      </c>
      <c r="B196" s="330" t="s">
        <v>498</v>
      </c>
      <c r="C196" s="330" t="s">
        <v>499</v>
      </c>
      <c r="D196" s="330" t="s">
        <v>170</v>
      </c>
      <c r="E196" s="330">
        <v>2</v>
      </c>
      <c r="F196" s="332">
        <v>2.22</v>
      </c>
      <c r="G196" s="332">
        <f t="shared" si="5"/>
        <v>4.44</v>
      </c>
      <c r="H196" s="331"/>
    </row>
    <row r="197" ht="25.5" spans="1:8">
      <c r="A197" s="329">
        <v>11</v>
      </c>
      <c r="B197" s="330" t="s">
        <v>500</v>
      </c>
      <c r="C197" s="330" t="s">
        <v>501</v>
      </c>
      <c r="D197" s="330" t="s">
        <v>170</v>
      </c>
      <c r="E197" s="330">
        <v>1</v>
      </c>
      <c r="F197" s="332">
        <v>1.85</v>
      </c>
      <c r="G197" s="332">
        <f t="shared" si="5"/>
        <v>1.85</v>
      </c>
      <c r="H197" s="331"/>
    </row>
    <row r="198" ht="38.25" spans="1:8">
      <c r="A198" s="329">
        <v>12</v>
      </c>
      <c r="B198" s="330" t="s">
        <v>502</v>
      </c>
      <c r="C198" s="330" t="s">
        <v>503</v>
      </c>
      <c r="D198" s="330" t="s">
        <v>170</v>
      </c>
      <c r="E198" s="330">
        <v>1</v>
      </c>
      <c r="F198" s="332">
        <v>1.11</v>
      </c>
      <c r="G198" s="332">
        <f t="shared" si="5"/>
        <v>1.11</v>
      </c>
      <c r="H198" s="331"/>
    </row>
    <row r="199" ht="21.75" customHeight="1" spans="1:8">
      <c r="A199" s="329">
        <v>13</v>
      </c>
      <c r="B199" s="330" t="s">
        <v>504</v>
      </c>
      <c r="C199" s="330" t="s">
        <v>505</v>
      </c>
      <c r="D199" s="330" t="s">
        <v>170</v>
      </c>
      <c r="E199" s="330">
        <v>2</v>
      </c>
      <c r="F199" s="332">
        <v>0.74</v>
      </c>
      <c r="G199" s="332">
        <f t="shared" si="5"/>
        <v>1.48</v>
      </c>
      <c r="H199" s="331"/>
    </row>
    <row r="200" ht="21" customHeight="1" spans="1:8">
      <c r="A200" s="329" t="s">
        <v>506</v>
      </c>
      <c r="B200" s="330"/>
      <c r="C200" s="330"/>
      <c r="D200" s="330"/>
      <c r="E200" s="330"/>
      <c r="F200" s="332"/>
      <c r="G200" s="332"/>
      <c r="H200" s="331"/>
    </row>
    <row r="201" s="306" customFormat="1" ht="51" spans="1:8">
      <c r="A201" s="329">
        <v>1</v>
      </c>
      <c r="B201" s="330" t="s">
        <v>507</v>
      </c>
      <c r="C201" s="330" t="s">
        <v>508</v>
      </c>
      <c r="D201" s="330" t="s">
        <v>170</v>
      </c>
      <c r="E201" s="330">
        <v>2</v>
      </c>
      <c r="F201" s="332">
        <v>1.85</v>
      </c>
      <c r="G201" s="332">
        <f t="shared" si="5"/>
        <v>3.7</v>
      </c>
      <c r="H201" s="331"/>
    </row>
    <row r="202" s="306" customFormat="1" ht="51" spans="1:8">
      <c r="A202" s="329">
        <v>2</v>
      </c>
      <c r="B202" s="330" t="s">
        <v>509</v>
      </c>
      <c r="C202" s="330" t="s">
        <v>510</v>
      </c>
      <c r="D202" s="330" t="s">
        <v>170</v>
      </c>
      <c r="E202" s="330">
        <v>2</v>
      </c>
      <c r="F202" s="332">
        <v>4.255</v>
      </c>
      <c r="G202" s="332">
        <f t="shared" si="5"/>
        <v>8.51</v>
      </c>
      <c r="H202" s="331"/>
    </row>
    <row r="203" s="306" customFormat="1" ht="50.25" spans="1:8">
      <c r="A203" s="329">
        <v>3</v>
      </c>
      <c r="B203" s="330" t="s">
        <v>511</v>
      </c>
      <c r="C203" s="330" t="s">
        <v>512</v>
      </c>
      <c r="D203" s="330" t="s">
        <v>170</v>
      </c>
      <c r="E203" s="330">
        <v>2</v>
      </c>
      <c r="F203" s="332">
        <v>16.65</v>
      </c>
      <c r="G203" s="332">
        <f t="shared" si="5"/>
        <v>33.3</v>
      </c>
      <c r="H203" s="331"/>
    </row>
    <row r="204" s="306" customFormat="1" ht="50.25" spans="1:8">
      <c r="A204" s="329">
        <v>4</v>
      </c>
      <c r="B204" s="330" t="s">
        <v>513</v>
      </c>
      <c r="C204" s="330" t="s">
        <v>514</v>
      </c>
      <c r="D204" s="330" t="s">
        <v>170</v>
      </c>
      <c r="E204" s="330">
        <v>2</v>
      </c>
      <c r="F204" s="332">
        <v>16.65</v>
      </c>
      <c r="G204" s="332">
        <f t="shared" si="5"/>
        <v>33.3</v>
      </c>
      <c r="H204" s="331"/>
    </row>
    <row r="205" s="306" customFormat="1" ht="50.25" spans="1:8">
      <c r="A205" s="329">
        <v>5</v>
      </c>
      <c r="B205" s="330" t="s">
        <v>515</v>
      </c>
      <c r="C205" s="330" t="s">
        <v>514</v>
      </c>
      <c r="D205" s="330" t="s">
        <v>170</v>
      </c>
      <c r="E205" s="330">
        <v>2</v>
      </c>
      <c r="F205" s="332">
        <v>18.13</v>
      </c>
      <c r="G205" s="332">
        <f t="shared" si="5"/>
        <v>36.26</v>
      </c>
      <c r="H205" s="331"/>
    </row>
    <row r="206" s="306" customFormat="1" ht="50.25" spans="1:8">
      <c r="A206" s="329">
        <v>6</v>
      </c>
      <c r="B206" s="330" t="s">
        <v>516</v>
      </c>
      <c r="C206" s="330" t="s">
        <v>517</v>
      </c>
      <c r="D206" s="330" t="s">
        <v>170</v>
      </c>
      <c r="E206" s="330">
        <v>2</v>
      </c>
      <c r="F206" s="332">
        <v>18.13</v>
      </c>
      <c r="G206" s="332">
        <f t="shared" si="5"/>
        <v>36.26</v>
      </c>
      <c r="H206" s="331"/>
    </row>
    <row r="207" s="306" customFormat="1" ht="25.5" spans="1:8">
      <c r="A207" s="329">
        <v>7</v>
      </c>
      <c r="B207" s="330" t="s">
        <v>498</v>
      </c>
      <c r="C207" s="330" t="s">
        <v>518</v>
      </c>
      <c r="D207" s="330" t="s">
        <v>170</v>
      </c>
      <c r="E207" s="330">
        <v>1</v>
      </c>
      <c r="F207" s="332">
        <v>4.44</v>
      </c>
      <c r="G207" s="332">
        <f t="shared" si="5"/>
        <v>4.44</v>
      </c>
      <c r="H207" s="331"/>
    </row>
    <row r="208" s="306" customFormat="1" ht="51" spans="1:8">
      <c r="A208" s="329">
        <v>8</v>
      </c>
      <c r="B208" s="330" t="s">
        <v>519</v>
      </c>
      <c r="C208" s="330" t="s">
        <v>520</v>
      </c>
      <c r="D208" s="330" t="s">
        <v>170</v>
      </c>
      <c r="E208" s="330">
        <v>1</v>
      </c>
      <c r="F208" s="332">
        <v>2.59</v>
      </c>
      <c r="G208" s="332">
        <f t="shared" si="5"/>
        <v>2.59</v>
      </c>
      <c r="H208" s="331"/>
    </row>
    <row r="209" s="306" customFormat="1" ht="38.25" spans="1:8">
      <c r="A209" s="329">
        <v>9</v>
      </c>
      <c r="B209" s="330" t="s">
        <v>521</v>
      </c>
      <c r="C209" s="330" t="s">
        <v>522</v>
      </c>
      <c r="D209" s="330" t="s">
        <v>170</v>
      </c>
      <c r="E209" s="330">
        <v>2</v>
      </c>
      <c r="F209" s="332">
        <v>7.4</v>
      </c>
      <c r="G209" s="332">
        <f t="shared" si="5"/>
        <v>14.8</v>
      </c>
      <c r="H209" s="331"/>
    </row>
    <row r="210" s="306" customFormat="1" ht="25.5" customHeight="1" spans="1:8">
      <c r="A210" s="336" t="s">
        <v>400</v>
      </c>
      <c r="B210" s="337"/>
      <c r="C210" s="337"/>
      <c r="D210" s="337"/>
      <c r="E210" s="337"/>
      <c r="F210" s="338"/>
      <c r="G210" s="338">
        <f>SUM(G188:G209)</f>
        <v>223.5875</v>
      </c>
      <c r="H210" s="339"/>
    </row>
    <row r="211" s="306" customFormat="1" ht="25.5" customHeight="1" spans="1:8">
      <c r="A211" s="343"/>
      <c r="B211" s="343"/>
      <c r="C211" s="343"/>
      <c r="D211" s="343"/>
      <c r="E211" s="343"/>
      <c r="F211" s="344"/>
      <c r="G211" s="344"/>
      <c r="H211" s="343"/>
    </row>
    <row r="212" s="306" customFormat="1" ht="25.5" customHeight="1" spans="1:8">
      <c r="A212" s="322" t="s">
        <v>86</v>
      </c>
      <c r="B212" s="323"/>
      <c r="C212" s="323"/>
      <c r="D212" s="323"/>
      <c r="E212" s="323"/>
      <c r="F212" s="323"/>
      <c r="G212" s="323"/>
      <c r="H212" s="323"/>
    </row>
    <row r="213" s="306" customFormat="1" ht="25.5" customHeight="1" spans="1:8">
      <c r="A213" s="324" t="s">
        <v>150</v>
      </c>
      <c r="B213" s="325" t="s">
        <v>151</v>
      </c>
      <c r="C213" s="326" t="s">
        <v>152</v>
      </c>
      <c r="D213" s="326" t="s">
        <v>153</v>
      </c>
      <c r="E213" s="326" t="s">
        <v>154</v>
      </c>
      <c r="F213" s="327" t="s">
        <v>155</v>
      </c>
      <c r="G213" s="327" t="s">
        <v>156</v>
      </c>
      <c r="H213" s="328" t="s">
        <v>157</v>
      </c>
    </row>
    <row r="214" s="306" customFormat="1" ht="25.5" customHeight="1" spans="1:8">
      <c r="A214" s="329">
        <v>1</v>
      </c>
      <c r="B214" s="330" t="s">
        <v>523</v>
      </c>
      <c r="C214" s="330" t="s">
        <v>524</v>
      </c>
      <c r="D214" s="330" t="s">
        <v>161</v>
      </c>
      <c r="E214" s="330">
        <v>1</v>
      </c>
      <c r="F214" s="345">
        <v>0.21747</v>
      </c>
      <c r="G214" s="332">
        <f>E214*F214</f>
        <v>0.21747</v>
      </c>
      <c r="H214" s="331"/>
    </row>
    <row r="215" s="306" customFormat="1" ht="25.5" customHeight="1" spans="1:8">
      <c r="A215" s="329">
        <v>2</v>
      </c>
      <c r="B215" s="330" t="s">
        <v>525</v>
      </c>
      <c r="C215" s="330"/>
      <c r="D215" s="330" t="s">
        <v>161</v>
      </c>
      <c r="E215" s="330">
        <v>1</v>
      </c>
      <c r="F215" s="345">
        <v>0.2112</v>
      </c>
      <c r="G215" s="332">
        <f t="shared" ref="G215:G247" si="6">E215*F215</f>
        <v>0.2112</v>
      </c>
      <c r="H215" s="331"/>
    </row>
    <row r="216" s="306" customFormat="1" ht="25.5" customHeight="1" spans="1:8">
      <c r="A216" s="329">
        <v>3</v>
      </c>
      <c r="B216" s="330" t="s">
        <v>526</v>
      </c>
      <c r="C216" s="330"/>
      <c r="D216" s="330" t="s">
        <v>229</v>
      </c>
      <c r="E216" s="330">
        <v>1</v>
      </c>
      <c r="F216" s="345">
        <v>0.24607</v>
      </c>
      <c r="G216" s="332">
        <f t="shared" si="6"/>
        <v>0.24607</v>
      </c>
      <c r="H216" s="331"/>
    </row>
    <row r="217" s="306" customFormat="1" ht="25.5" customHeight="1" spans="1:8">
      <c r="A217" s="329">
        <v>4</v>
      </c>
      <c r="B217" s="330" t="s">
        <v>527</v>
      </c>
      <c r="C217" s="330"/>
      <c r="D217" s="330" t="s">
        <v>229</v>
      </c>
      <c r="E217" s="330">
        <v>1</v>
      </c>
      <c r="F217" s="345">
        <v>0.484</v>
      </c>
      <c r="G217" s="332">
        <f t="shared" si="6"/>
        <v>0.484</v>
      </c>
      <c r="H217" s="331"/>
    </row>
    <row r="218" s="306" customFormat="1" ht="25.5" customHeight="1" spans="1:8">
      <c r="A218" s="329">
        <v>5</v>
      </c>
      <c r="B218" s="330" t="s">
        <v>528</v>
      </c>
      <c r="C218" s="330"/>
      <c r="D218" s="330" t="s">
        <v>229</v>
      </c>
      <c r="E218" s="330">
        <v>1</v>
      </c>
      <c r="F218" s="345">
        <v>0.08844</v>
      </c>
      <c r="G218" s="332">
        <f t="shared" si="6"/>
        <v>0.08844</v>
      </c>
      <c r="H218" s="331"/>
    </row>
    <row r="219" s="306" customFormat="1" ht="25.5" customHeight="1" spans="1:8">
      <c r="A219" s="329">
        <v>6</v>
      </c>
      <c r="B219" s="330" t="s">
        <v>529</v>
      </c>
      <c r="C219" s="330"/>
      <c r="D219" s="330" t="s">
        <v>170</v>
      </c>
      <c r="E219" s="330">
        <v>1</v>
      </c>
      <c r="F219" s="345">
        <v>0.858</v>
      </c>
      <c r="G219" s="332">
        <f t="shared" si="6"/>
        <v>0.858</v>
      </c>
      <c r="H219" s="331"/>
    </row>
    <row r="220" s="306" customFormat="1" ht="25.5" customHeight="1" spans="1:8">
      <c r="A220" s="329">
        <v>7</v>
      </c>
      <c r="B220" s="330" t="s">
        <v>530</v>
      </c>
      <c r="C220" s="330"/>
      <c r="D220" s="330" t="s">
        <v>170</v>
      </c>
      <c r="E220" s="330">
        <v>1</v>
      </c>
      <c r="F220" s="345">
        <v>0.242</v>
      </c>
      <c r="G220" s="332">
        <f t="shared" si="6"/>
        <v>0.242</v>
      </c>
      <c r="H220" s="331"/>
    </row>
    <row r="221" s="306" customFormat="1" ht="25.5" customHeight="1" spans="1:8">
      <c r="A221" s="329">
        <v>8</v>
      </c>
      <c r="B221" s="330" t="s">
        <v>531</v>
      </c>
      <c r="C221" s="330"/>
      <c r="D221" s="330" t="s">
        <v>170</v>
      </c>
      <c r="E221" s="330">
        <v>1</v>
      </c>
      <c r="F221" s="345">
        <v>0.242</v>
      </c>
      <c r="G221" s="332">
        <f t="shared" si="6"/>
        <v>0.242</v>
      </c>
      <c r="H221" s="331"/>
    </row>
    <row r="222" s="306" customFormat="1" ht="25.5" customHeight="1" spans="1:8">
      <c r="A222" s="329">
        <v>9</v>
      </c>
      <c r="B222" s="330" t="s">
        <v>532</v>
      </c>
      <c r="C222" s="330"/>
      <c r="D222" s="330" t="s">
        <v>170</v>
      </c>
      <c r="E222" s="330">
        <v>1</v>
      </c>
      <c r="F222" s="345">
        <v>0.242</v>
      </c>
      <c r="G222" s="332">
        <f t="shared" si="6"/>
        <v>0.242</v>
      </c>
      <c r="H222" s="331"/>
    </row>
    <row r="223" s="306" customFormat="1" ht="25.5" customHeight="1" spans="1:8">
      <c r="A223" s="329">
        <v>10</v>
      </c>
      <c r="B223" s="330" t="s">
        <v>533</v>
      </c>
      <c r="C223" s="330"/>
      <c r="D223" s="330" t="s">
        <v>170</v>
      </c>
      <c r="E223" s="330">
        <v>1</v>
      </c>
      <c r="F223" s="345">
        <v>0.308</v>
      </c>
      <c r="G223" s="332">
        <f t="shared" si="6"/>
        <v>0.308</v>
      </c>
      <c r="H223" s="331"/>
    </row>
    <row r="224" s="306" customFormat="1" ht="25.5" customHeight="1" spans="1:8">
      <c r="A224" s="329">
        <v>11</v>
      </c>
      <c r="B224" s="330" t="s">
        <v>534</v>
      </c>
      <c r="C224" s="330"/>
      <c r="D224" s="330" t="s">
        <v>170</v>
      </c>
      <c r="E224" s="330">
        <v>1</v>
      </c>
      <c r="F224" s="345">
        <v>0.319</v>
      </c>
      <c r="G224" s="332">
        <f t="shared" si="6"/>
        <v>0.319</v>
      </c>
      <c r="H224" s="331"/>
    </row>
    <row r="225" s="306" customFormat="1" ht="25.5" customHeight="1" spans="1:8">
      <c r="A225" s="329">
        <v>12</v>
      </c>
      <c r="B225" s="330" t="s">
        <v>535</v>
      </c>
      <c r="C225" s="330"/>
      <c r="D225" s="330" t="s">
        <v>170</v>
      </c>
      <c r="E225" s="330">
        <v>2</v>
      </c>
      <c r="F225" s="345">
        <v>0.88</v>
      </c>
      <c r="G225" s="332">
        <f t="shared" si="6"/>
        <v>1.76</v>
      </c>
      <c r="H225" s="331"/>
    </row>
    <row r="226" s="306" customFormat="1" ht="25.5" customHeight="1" spans="1:8">
      <c r="A226" s="329">
        <v>13</v>
      </c>
      <c r="B226" s="330" t="s">
        <v>536</v>
      </c>
      <c r="C226" s="330"/>
      <c r="D226" s="330" t="s">
        <v>170</v>
      </c>
      <c r="E226" s="330">
        <v>1</v>
      </c>
      <c r="F226" s="345">
        <v>0.22</v>
      </c>
      <c r="G226" s="332">
        <f t="shared" si="6"/>
        <v>0.22</v>
      </c>
      <c r="H226" s="331"/>
    </row>
    <row r="227" s="306" customFormat="1" ht="25.5" customHeight="1" spans="1:8">
      <c r="A227" s="329">
        <v>14</v>
      </c>
      <c r="B227" s="330" t="s">
        <v>537</v>
      </c>
      <c r="C227" s="330"/>
      <c r="D227" s="330" t="s">
        <v>170</v>
      </c>
      <c r="E227" s="330">
        <v>1</v>
      </c>
      <c r="F227" s="345">
        <v>0.264</v>
      </c>
      <c r="G227" s="332">
        <f t="shared" si="6"/>
        <v>0.264</v>
      </c>
      <c r="H227" s="331"/>
    </row>
    <row r="228" s="306" customFormat="1" ht="25.5" customHeight="1" spans="1:8">
      <c r="A228" s="329">
        <v>15</v>
      </c>
      <c r="B228" s="330" t="s">
        <v>538</v>
      </c>
      <c r="C228" s="330"/>
      <c r="D228" s="330" t="s">
        <v>170</v>
      </c>
      <c r="E228" s="330">
        <v>1</v>
      </c>
      <c r="F228" s="345">
        <v>0.2486</v>
      </c>
      <c r="G228" s="332">
        <f t="shared" si="6"/>
        <v>0.2486</v>
      </c>
      <c r="H228" s="331"/>
    </row>
    <row r="229" s="306" customFormat="1" ht="25.5" customHeight="1" spans="1:8">
      <c r="A229" s="329">
        <v>16</v>
      </c>
      <c r="B229" s="346" t="s">
        <v>539</v>
      </c>
      <c r="C229" s="330"/>
      <c r="D229" s="330" t="s">
        <v>170</v>
      </c>
      <c r="E229" s="330">
        <v>1</v>
      </c>
      <c r="F229" s="345">
        <v>0.55</v>
      </c>
      <c r="G229" s="332">
        <f t="shared" si="6"/>
        <v>0.55</v>
      </c>
      <c r="H229" s="331"/>
    </row>
    <row r="230" s="306" customFormat="1" ht="25.5" customHeight="1" spans="1:8">
      <c r="A230" s="329">
        <v>17</v>
      </c>
      <c r="B230" s="330" t="s">
        <v>540</v>
      </c>
      <c r="C230" s="330"/>
      <c r="D230" s="330" t="s">
        <v>170</v>
      </c>
      <c r="E230" s="330">
        <v>1</v>
      </c>
      <c r="F230" s="345">
        <v>0.352</v>
      </c>
      <c r="G230" s="332">
        <f t="shared" si="6"/>
        <v>0.352</v>
      </c>
      <c r="H230" s="331"/>
    </row>
    <row r="231" s="306" customFormat="1" ht="25.5" customHeight="1" spans="1:8">
      <c r="A231" s="329">
        <v>18</v>
      </c>
      <c r="B231" s="330" t="s">
        <v>541</v>
      </c>
      <c r="C231" s="330"/>
      <c r="D231" s="330" t="s">
        <v>170</v>
      </c>
      <c r="E231" s="330">
        <v>1</v>
      </c>
      <c r="F231" s="345">
        <v>0.06347</v>
      </c>
      <c r="G231" s="332">
        <f t="shared" si="6"/>
        <v>0.06347</v>
      </c>
      <c r="H231" s="331"/>
    </row>
    <row r="232" s="306" customFormat="1" ht="25.5" customHeight="1" spans="1:8">
      <c r="A232" s="329">
        <v>19</v>
      </c>
      <c r="B232" s="330" t="s">
        <v>542</v>
      </c>
      <c r="C232" s="330"/>
      <c r="D232" s="330" t="s">
        <v>170</v>
      </c>
      <c r="E232" s="330">
        <v>1</v>
      </c>
      <c r="F232" s="345">
        <v>0.75295</v>
      </c>
      <c r="G232" s="332">
        <f t="shared" si="6"/>
        <v>0.75295</v>
      </c>
      <c r="H232" s="331"/>
    </row>
    <row r="233" s="306" customFormat="1" ht="25.5" customHeight="1" spans="1:8">
      <c r="A233" s="329">
        <v>20</v>
      </c>
      <c r="B233" s="330" t="s">
        <v>543</v>
      </c>
      <c r="C233" s="330"/>
      <c r="D233" s="330" t="s">
        <v>170</v>
      </c>
      <c r="E233" s="330">
        <v>1</v>
      </c>
      <c r="F233" s="345">
        <v>0.231</v>
      </c>
      <c r="G233" s="332">
        <f t="shared" si="6"/>
        <v>0.231</v>
      </c>
      <c r="H233" s="331"/>
    </row>
    <row r="234" s="306" customFormat="1" ht="25.5" customHeight="1" spans="1:8">
      <c r="A234" s="329">
        <v>21</v>
      </c>
      <c r="B234" s="330" t="s">
        <v>544</v>
      </c>
      <c r="C234" s="330"/>
      <c r="D234" s="330" t="s">
        <v>170</v>
      </c>
      <c r="E234" s="330">
        <v>1</v>
      </c>
      <c r="F234" s="345">
        <v>0.308</v>
      </c>
      <c r="G234" s="332">
        <f t="shared" si="6"/>
        <v>0.308</v>
      </c>
      <c r="H234" s="331"/>
    </row>
    <row r="235" s="306" customFormat="1" ht="25.5" customHeight="1" spans="1:8">
      <c r="A235" s="329">
        <v>22</v>
      </c>
      <c r="B235" s="330" t="s">
        <v>545</v>
      </c>
      <c r="C235" s="330"/>
      <c r="D235" s="330" t="s">
        <v>229</v>
      </c>
      <c r="E235" s="330">
        <v>1</v>
      </c>
      <c r="F235" s="345">
        <v>0.14718</v>
      </c>
      <c r="G235" s="332">
        <f t="shared" si="6"/>
        <v>0.14718</v>
      </c>
      <c r="H235" s="331"/>
    </row>
    <row r="236" s="306" customFormat="1" ht="25.5" customHeight="1" spans="1:8">
      <c r="A236" s="329">
        <v>23</v>
      </c>
      <c r="B236" s="346" t="s">
        <v>546</v>
      </c>
      <c r="C236" s="346"/>
      <c r="D236" s="346" t="s">
        <v>161</v>
      </c>
      <c r="E236" s="330">
        <v>1</v>
      </c>
      <c r="F236" s="345">
        <v>0.0968</v>
      </c>
      <c r="G236" s="332">
        <f t="shared" si="6"/>
        <v>0.0968</v>
      </c>
      <c r="H236" s="331"/>
    </row>
    <row r="237" s="306" customFormat="1" ht="25.5" customHeight="1" spans="1:8">
      <c r="A237" s="329">
        <v>24</v>
      </c>
      <c r="B237" s="346" t="s">
        <v>547</v>
      </c>
      <c r="C237" s="346"/>
      <c r="D237" s="346" t="s">
        <v>161</v>
      </c>
      <c r="E237" s="346">
        <v>2</v>
      </c>
      <c r="F237" s="345">
        <v>0.0132</v>
      </c>
      <c r="G237" s="332">
        <f t="shared" si="6"/>
        <v>0.0264</v>
      </c>
      <c r="H237" s="331"/>
    </row>
    <row r="238" s="306" customFormat="1" ht="25.5" customHeight="1" spans="1:8">
      <c r="A238" s="329">
        <v>25</v>
      </c>
      <c r="B238" s="346" t="s">
        <v>548</v>
      </c>
      <c r="C238" s="346"/>
      <c r="D238" s="346" t="s">
        <v>161</v>
      </c>
      <c r="E238" s="346">
        <v>1</v>
      </c>
      <c r="F238" s="345">
        <v>0.09295</v>
      </c>
      <c r="G238" s="332">
        <f t="shared" si="6"/>
        <v>0.09295</v>
      </c>
      <c r="H238" s="331"/>
    </row>
    <row r="239" s="306" customFormat="1" ht="25.5" customHeight="1" spans="1:8">
      <c r="A239" s="329">
        <v>26</v>
      </c>
      <c r="B239" s="346" t="s">
        <v>549</v>
      </c>
      <c r="C239" s="346"/>
      <c r="D239" s="346" t="s">
        <v>161</v>
      </c>
      <c r="E239" s="346">
        <v>1</v>
      </c>
      <c r="F239" s="345">
        <v>0.0638</v>
      </c>
      <c r="G239" s="332">
        <f t="shared" si="6"/>
        <v>0.0638</v>
      </c>
      <c r="H239" s="331"/>
    </row>
    <row r="240" s="306" customFormat="1" ht="25.5" customHeight="1" spans="1:8">
      <c r="A240" s="329">
        <v>27</v>
      </c>
      <c r="B240" s="346" t="s">
        <v>550</v>
      </c>
      <c r="C240" s="347"/>
      <c r="D240" s="330" t="s">
        <v>170</v>
      </c>
      <c r="E240" s="330">
        <v>1</v>
      </c>
      <c r="F240" s="348">
        <v>2.42</v>
      </c>
      <c r="G240" s="332">
        <f t="shared" si="6"/>
        <v>2.42</v>
      </c>
      <c r="H240" s="349" t="s">
        <v>551</v>
      </c>
    </row>
    <row r="241" s="306" customFormat="1" ht="25.5" customHeight="1" spans="1:8">
      <c r="A241" s="329">
        <v>28</v>
      </c>
      <c r="B241" s="346" t="s">
        <v>552</v>
      </c>
      <c r="C241" s="346"/>
      <c r="D241" s="346" t="s">
        <v>161</v>
      </c>
      <c r="E241" s="346">
        <v>2</v>
      </c>
      <c r="F241" s="345">
        <v>0.47289</v>
      </c>
      <c r="G241" s="332">
        <f t="shared" si="6"/>
        <v>0.94578</v>
      </c>
      <c r="H241" s="331"/>
    </row>
    <row r="242" s="306" customFormat="1" ht="25.5" customHeight="1" spans="1:8">
      <c r="A242" s="329">
        <v>29</v>
      </c>
      <c r="B242" s="346" t="s">
        <v>553</v>
      </c>
      <c r="C242" s="346"/>
      <c r="D242" s="346" t="s">
        <v>161</v>
      </c>
      <c r="E242" s="346">
        <v>1</v>
      </c>
      <c r="F242" s="350">
        <v>0.48389</v>
      </c>
      <c r="G242" s="332">
        <f t="shared" si="6"/>
        <v>0.48389</v>
      </c>
      <c r="H242" s="351"/>
    </row>
    <row r="243" s="306" customFormat="1" ht="25.5" customHeight="1" spans="1:8">
      <c r="A243" s="329">
        <v>30</v>
      </c>
      <c r="B243" s="346" t="s">
        <v>554</v>
      </c>
      <c r="C243" s="346" t="s">
        <v>555</v>
      </c>
      <c r="D243" s="346" t="s">
        <v>161</v>
      </c>
      <c r="E243" s="346">
        <v>1</v>
      </c>
      <c r="F243" s="350">
        <v>0.03025</v>
      </c>
      <c r="G243" s="332">
        <f t="shared" si="6"/>
        <v>0.03025</v>
      </c>
      <c r="H243" s="351"/>
    </row>
    <row r="244" s="306" customFormat="1" ht="25.5" customHeight="1" spans="1:8">
      <c r="A244" s="329">
        <v>31</v>
      </c>
      <c r="B244" s="346" t="s">
        <v>556</v>
      </c>
      <c r="C244" s="346"/>
      <c r="D244" s="346" t="s">
        <v>161</v>
      </c>
      <c r="E244" s="346">
        <v>1</v>
      </c>
      <c r="F244" s="350">
        <v>0.0979</v>
      </c>
      <c r="G244" s="332">
        <f t="shared" si="6"/>
        <v>0.0979</v>
      </c>
      <c r="H244" s="351"/>
    </row>
    <row r="245" s="306" customFormat="1" ht="25.5" customHeight="1" spans="1:8">
      <c r="A245" s="329">
        <v>32</v>
      </c>
      <c r="B245" s="346" t="s">
        <v>557</v>
      </c>
      <c r="C245" s="346" t="s">
        <v>558</v>
      </c>
      <c r="D245" s="346" t="s">
        <v>161</v>
      </c>
      <c r="E245" s="346">
        <v>1</v>
      </c>
      <c r="F245" s="350">
        <v>0.176</v>
      </c>
      <c r="G245" s="332">
        <f t="shared" si="6"/>
        <v>0.176</v>
      </c>
      <c r="H245" s="351"/>
    </row>
    <row r="246" s="306" customFormat="1" ht="25.5" customHeight="1" spans="1:8">
      <c r="A246" s="329">
        <v>33</v>
      </c>
      <c r="B246" s="346" t="s">
        <v>559</v>
      </c>
      <c r="C246" s="346"/>
      <c r="D246" s="346" t="s">
        <v>161</v>
      </c>
      <c r="E246" s="346">
        <v>1</v>
      </c>
      <c r="F246" s="350">
        <v>0.132</v>
      </c>
      <c r="G246" s="332">
        <f t="shared" si="6"/>
        <v>0.132</v>
      </c>
      <c r="H246" s="351"/>
    </row>
    <row r="247" s="306" customFormat="1" ht="25.5" customHeight="1" spans="1:8">
      <c r="A247" s="329">
        <v>34</v>
      </c>
      <c r="B247" s="346" t="s">
        <v>560</v>
      </c>
      <c r="C247" s="346"/>
      <c r="D247" s="346" t="s">
        <v>161</v>
      </c>
      <c r="E247" s="346">
        <v>1</v>
      </c>
      <c r="F247" s="350">
        <v>0.01408</v>
      </c>
      <c r="G247" s="332">
        <f t="shared" si="6"/>
        <v>0.01408</v>
      </c>
      <c r="H247" s="351"/>
    </row>
    <row r="248" s="306" customFormat="1" ht="25.5" customHeight="1" spans="1:8">
      <c r="A248" s="329">
        <v>35</v>
      </c>
      <c r="B248" s="346" t="s">
        <v>561</v>
      </c>
      <c r="C248" s="346"/>
      <c r="D248" s="346" t="s">
        <v>562</v>
      </c>
      <c r="E248" s="346" t="s">
        <v>563</v>
      </c>
      <c r="F248" s="350"/>
      <c r="G248" s="332">
        <v>0.2</v>
      </c>
      <c r="H248" s="351"/>
    </row>
    <row r="249" s="306" customFormat="1" ht="25.5" customHeight="1" spans="1:8">
      <c r="A249" s="329">
        <v>36</v>
      </c>
      <c r="B249" s="330" t="s">
        <v>564</v>
      </c>
      <c r="C249" s="330" t="s">
        <v>565</v>
      </c>
      <c r="D249" s="330" t="s">
        <v>229</v>
      </c>
      <c r="E249" s="330">
        <v>30</v>
      </c>
      <c r="F249" s="330">
        <v>1.6</v>
      </c>
      <c r="G249" s="332">
        <v>1.6</v>
      </c>
      <c r="H249" s="331" t="s">
        <v>566</v>
      </c>
    </row>
    <row r="250" s="306" customFormat="1" ht="25.5" customHeight="1" spans="1:8">
      <c r="A250" s="329">
        <v>37</v>
      </c>
      <c r="B250" s="330" t="s">
        <v>567</v>
      </c>
      <c r="C250" s="330" t="s">
        <v>568</v>
      </c>
      <c r="D250" s="330" t="s">
        <v>229</v>
      </c>
      <c r="E250" s="330">
        <v>10</v>
      </c>
      <c r="F250" s="330"/>
      <c r="G250" s="332"/>
      <c r="H250" s="351"/>
    </row>
    <row r="251" s="306" customFormat="1" ht="25.5" customHeight="1" spans="1:8">
      <c r="A251" s="329">
        <v>38</v>
      </c>
      <c r="B251" s="330" t="s">
        <v>567</v>
      </c>
      <c r="C251" s="330" t="s">
        <v>569</v>
      </c>
      <c r="D251" s="330" t="s">
        <v>229</v>
      </c>
      <c r="E251" s="330">
        <v>10</v>
      </c>
      <c r="F251" s="330"/>
      <c r="G251" s="332"/>
      <c r="H251" s="351"/>
    </row>
    <row r="252" s="306" customFormat="1" ht="25.5" customHeight="1" spans="1:8">
      <c r="A252" s="329">
        <v>39</v>
      </c>
      <c r="B252" s="330" t="s">
        <v>570</v>
      </c>
      <c r="C252" s="330" t="s">
        <v>571</v>
      </c>
      <c r="D252" s="330" t="s">
        <v>229</v>
      </c>
      <c r="E252" s="330">
        <v>40</v>
      </c>
      <c r="F252" s="330"/>
      <c r="G252" s="332"/>
      <c r="H252" s="331" t="s">
        <v>566</v>
      </c>
    </row>
    <row r="253" s="306" customFormat="1" ht="25.5" customHeight="1" spans="1:8">
      <c r="A253" s="329">
        <v>40</v>
      </c>
      <c r="B253" s="330" t="s">
        <v>570</v>
      </c>
      <c r="C253" s="330" t="s">
        <v>572</v>
      </c>
      <c r="D253" s="330" t="s">
        <v>229</v>
      </c>
      <c r="E253" s="330">
        <v>20</v>
      </c>
      <c r="F253" s="330"/>
      <c r="G253" s="332"/>
      <c r="H253" s="351"/>
    </row>
    <row r="254" s="306" customFormat="1" ht="25.5" customHeight="1" spans="1:8">
      <c r="A254" s="329">
        <v>41</v>
      </c>
      <c r="B254" s="330" t="s">
        <v>573</v>
      </c>
      <c r="C254" s="330" t="s">
        <v>571</v>
      </c>
      <c r="D254" s="330" t="s">
        <v>229</v>
      </c>
      <c r="E254" s="330">
        <v>2</v>
      </c>
      <c r="F254" s="330"/>
      <c r="G254" s="332"/>
      <c r="H254" s="351"/>
    </row>
    <row r="255" s="306" customFormat="1" ht="25.5" customHeight="1" spans="1:8">
      <c r="A255" s="329">
        <v>42</v>
      </c>
      <c r="B255" s="330" t="s">
        <v>574</v>
      </c>
      <c r="C255" s="330" t="s">
        <v>571</v>
      </c>
      <c r="D255" s="330" t="s">
        <v>229</v>
      </c>
      <c r="E255" s="330">
        <v>2</v>
      </c>
      <c r="F255" s="330"/>
      <c r="G255" s="332"/>
      <c r="H255" s="351"/>
    </row>
    <row r="256" s="306" customFormat="1" ht="25.5" customHeight="1" spans="1:8">
      <c r="A256" s="329">
        <v>43</v>
      </c>
      <c r="B256" s="330" t="s">
        <v>575</v>
      </c>
      <c r="C256" s="330" t="s">
        <v>571</v>
      </c>
      <c r="D256" s="330" t="s">
        <v>229</v>
      </c>
      <c r="E256" s="330">
        <v>2</v>
      </c>
      <c r="F256" s="330"/>
      <c r="G256" s="332"/>
      <c r="H256" s="351"/>
    </row>
    <row r="257" s="306" customFormat="1" ht="25.5" customHeight="1" spans="1:8">
      <c r="A257" s="329">
        <v>44</v>
      </c>
      <c r="B257" s="330" t="s">
        <v>576</v>
      </c>
      <c r="C257" s="330" t="s">
        <v>577</v>
      </c>
      <c r="D257" s="330" t="s">
        <v>229</v>
      </c>
      <c r="E257" s="330">
        <v>10</v>
      </c>
      <c r="F257" s="330"/>
      <c r="G257" s="332"/>
      <c r="H257" s="351"/>
    </row>
    <row r="258" s="306" customFormat="1" ht="25.5" customHeight="1" spans="1:8">
      <c r="A258" s="329">
        <v>45</v>
      </c>
      <c r="B258" s="330" t="s">
        <v>576</v>
      </c>
      <c r="C258" s="330" t="s">
        <v>578</v>
      </c>
      <c r="D258" s="330" t="s">
        <v>229</v>
      </c>
      <c r="E258" s="330">
        <v>10</v>
      </c>
      <c r="F258" s="330"/>
      <c r="G258" s="332"/>
      <c r="H258" s="351"/>
    </row>
    <row r="259" s="306" customFormat="1" ht="25.5" customHeight="1" spans="1:8">
      <c r="A259" s="329">
        <v>46</v>
      </c>
      <c r="B259" s="330" t="s">
        <v>576</v>
      </c>
      <c r="C259" s="330" t="s">
        <v>579</v>
      </c>
      <c r="D259" s="330" t="s">
        <v>229</v>
      </c>
      <c r="E259" s="330">
        <v>10</v>
      </c>
      <c r="F259" s="330"/>
      <c r="G259" s="332"/>
      <c r="H259" s="351"/>
    </row>
    <row r="260" s="306" customFormat="1" ht="25.5" customHeight="1" spans="1:8">
      <c r="A260" s="329">
        <v>47</v>
      </c>
      <c r="B260" s="330" t="s">
        <v>576</v>
      </c>
      <c r="C260" s="330" t="s">
        <v>580</v>
      </c>
      <c r="D260" s="330" t="s">
        <v>229</v>
      </c>
      <c r="E260" s="330">
        <v>10</v>
      </c>
      <c r="F260" s="330"/>
      <c r="G260" s="332"/>
      <c r="H260" s="351"/>
    </row>
    <row r="261" s="306" customFormat="1" ht="25.5" customHeight="1" spans="1:8">
      <c r="A261" s="329">
        <v>48</v>
      </c>
      <c r="B261" s="330" t="s">
        <v>581</v>
      </c>
      <c r="C261" s="330" t="s">
        <v>582</v>
      </c>
      <c r="D261" s="330" t="s">
        <v>229</v>
      </c>
      <c r="E261" s="330">
        <v>10</v>
      </c>
      <c r="F261" s="330"/>
      <c r="G261" s="332"/>
      <c r="H261" s="351"/>
    </row>
    <row r="262" s="306" customFormat="1" ht="25.5" customHeight="1" spans="1:8">
      <c r="A262" s="329">
        <v>49</v>
      </c>
      <c r="B262" s="330" t="s">
        <v>581</v>
      </c>
      <c r="C262" s="330" t="s">
        <v>583</v>
      </c>
      <c r="D262" s="330" t="s">
        <v>229</v>
      </c>
      <c r="E262" s="330">
        <v>10</v>
      </c>
      <c r="F262" s="330"/>
      <c r="G262" s="332"/>
      <c r="H262" s="351"/>
    </row>
    <row r="263" s="306" customFormat="1" ht="25.5" customHeight="1" spans="1:8">
      <c r="A263" s="329">
        <v>50</v>
      </c>
      <c r="B263" s="330" t="s">
        <v>581</v>
      </c>
      <c r="C263" s="330" t="s">
        <v>584</v>
      </c>
      <c r="D263" s="330" t="s">
        <v>229</v>
      </c>
      <c r="E263" s="330">
        <v>4</v>
      </c>
      <c r="F263" s="330"/>
      <c r="G263" s="332"/>
      <c r="H263" s="351"/>
    </row>
    <row r="264" s="306" customFormat="1" ht="25.5" customHeight="1" spans="1:8">
      <c r="A264" s="329">
        <v>51</v>
      </c>
      <c r="B264" s="330" t="s">
        <v>585</v>
      </c>
      <c r="C264" s="330" t="s">
        <v>571</v>
      </c>
      <c r="D264" s="330" t="s">
        <v>229</v>
      </c>
      <c r="E264" s="330">
        <v>3</v>
      </c>
      <c r="F264" s="330"/>
      <c r="G264" s="332"/>
      <c r="H264" s="351"/>
    </row>
    <row r="265" s="306" customFormat="1" ht="25.5" customHeight="1" spans="1:8">
      <c r="A265" s="329">
        <v>52</v>
      </c>
      <c r="B265" s="330" t="s">
        <v>585</v>
      </c>
      <c r="C265" s="330" t="s">
        <v>572</v>
      </c>
      <c r="D265" s="330" t="s">
        <v>229</v>
      </c>
      <c r="E265" s="330">
        <v>3</v>
      </c>
      <c r="F265" s="330"/>
      <c r="G265" s="332"/>
      <c r="H265" s="351"/>
    </row>
    <row r="266" s="306" customFormat="1" ht="25.5" customHeight="1" spans="1:8">
      <c r="A266" s="329">
        <v>53</v>
      </c>
      <c r="B266" s="330" t="s">
        <v>585</v>
      </c>
      <c r="C266" s="330" t="s">
        <v>586</v>
      </c>
      <c r="D266" s="330" t="s">
        <v>229</v>
      </c>
      <c r="E266" s="330">
        <v>3</v>
      </c>
      <c r="F266" s="330"/>
      <c r="G266" s="332"/>
      <c r="H266" s="351"/>
    </row>
    <row r="267" s="306" customFormat="1" ht="25.5" customHeight="1" spans="1:8">
      <c r="A267" s="329">
        <v>54</v>
      </c>
      <c r="B267" s="330" t="s">
        <v>585</v>
      </c>
      <c r="C267" s="330" t="s">
        <v>587</v>
      </c>
      <c r="D267" s="330" t="s">
        <v>229</v>
      </c>
      <c r="E267" s="330">
        <v>3</v>
      </c>
      <c r="F267" s="330"/>
      <c r="G267" s="332"/>
      <c r="H267" s="351"/>
    </row>
    <row r="268" s="306" customFormat="1" ht="25.5" customHeight="1" spans="1:8">
      <c r="A268" s="329">
        <v>55</v>
      </c>
      <c r="B268" s="330" t="s">
        <v>585</v>
      </c>
      <c r="C268" s="330" t="s">
        <v>577</v>
      </c>
      <c r="D268" s="330" t="s">
        <v>229</v>
      </c>
      <c r="E268" s="330">
        <v>3</v>
      </c>
      <c r="F268" s="330"/>
      <c r="G268" s="332"/>
      <c r="H268" s="351"/>
    </row>
    <row r="269" s="306" customFormat="1" ht="25.5" customHeight="1" spans="1:8">
      <c r="A269" s="329">
        <v>56</v>
      </c>
      <c r="B269" s="330" t="s">
        <v>585</v>
      </c>
      <c r="C269" s="330" t="s">
        <v>578</v>
      </c>
      <c r="D269" s="330" t="s">
        <v>229</v>
      </c>
      <c r="E269" s="330">
        <v>3</v>
      </c>
      <c r="F269" s="330"/>
      <c r="G269" s="332"/>
      <c r="H269" s="351"/>
    </row>
    <row r="270" s="306" customFormat="1" ht="25.5" customHeight="1" spans="1:8">
      <c r="A270" s="329">
        <v>57</v>
      </c>
      <c r="B270" s="330" t="s">
        <v>585</v>
      </c>
      <c r="C270" s="330" t="s">
        <v>579</v>
      </c>
      <c r="D270" s="330" t="s">
        <v>229</v>
      </c>
      <c r="E270" s="330">
        <v>3</v>
      </c>
      <c r="F270" s="330"/>
      <c r="G270" s="332"/>
      <c r="H270" s="351"/>
    </row>
    <row r="271" s="306" customFormat="1" ht="25.5" customHeight="1" spans="1:8">
      <c r="A271" s="329">
        <v>58</v>
      </c>
      <c r="B271" s="330" t="s">
        <v>585</v>
      </c>
      <c r="C271" s="330" t="s">
        <v>580</v>
      </c>
      <c r="D271" s="330" t="s">
        <v>229</v>
      </c>
      <c r="E271" s="330">
        <v>3</v>
      </c>
      <c r="F271" s="330"/>
      <c r="G271" s="332"/>
      <c r="H271" s="351"/>
    </row>
    <row r="272" s="306" customFormat="1" ht="25.5" customHeight="1" spans="1:8">
      <c r="A272" s="329">
        <v>59</v>
      </c>
      <c r="B272" s="330" t="s">
        <v>588</v>
      </c>
      <c r="C272" s="330" t="s">
        <v>589</v>
      </c>
      <c r="D272" s="330" t="s">
        <v>229</v>
      </c>
      <c r="E272" s="330">
        <v>2</v>
      </c>
      <c r="F272" s="330"/>
      <c r="G272" s="332"/>
      <c r="H272" s="351"/>
    </row>
    <row r="273" s="306" customFormat="1" ht="25.5" customHeight="1" spans="1:8">
      <c r="A273" s="329">
        <v>60</v>
      </c>
      <c r="B273" s="330" t="s">
        <v>588</v>
      </c>
      <c r="C273" s="330" t="s">
        <v>590</v>
      </c>
      <c r="D273" s="330" t="s">
        <v>229</v>
      </c>
      <c r="E273" s="330">
        <v>10</v>
      </c>
      <c r="F273" s="330"/>
      <c r="G273" s="332"/>
      <c r="H273" s="351"/>
    </row>
    <row r="274" s="306" customFormat="1" ht="25.5" customHeight="1" spans="1:8">
      <c r="A274" s="329">
        <v>61</v>
      </c>
      <c r="B274" s="330" t="s">
        <v>588</v>
      </c>
      <c r="C274" s="330" t="s">
        <v>591</v>
      </c>
      <c r="D274" s="330" t="s">
        <v>229</v>
      </c>
      <c r="E274" s="330">
        <v>10</v>
      </c>
      <c r="F274" s="330"/>
      <c r="G274" s="332"/>
      <c r="H274" s="351"/>
    </row>
    <row r="275" s="306" customFormat="1" ht="25.5" customHeight="1" spans="1:8">
      <c r="A275" s="329">
        <v>62</v>
      </c>
      <c r="B275" s="330" t="s">
        <v>588</v>
      </c>
      <c r="C275" s="330" t="s">
        <v>565</v>
      </c>
      <c r="D275" s="330" t="s">
        <v>229</v>
      </c>
      <c r="E275" s="330">
        <v>10</v>
      </c>
      <c r="F275" s="330"/>
      <c r="G275" s="332"/>
      <c r="H275" s="351"/>
    </row>
    <row r="276" s="306" customFormat="1" ht="25.5" customHeight="1" spans="1:8">
      <c r="A276" s="329">
        <v>63</v>
      </c>
      <c r="B276" s="330" t="s">
        <v>588</v>
      </c>
      <c r="C276" s="330" t="s">
        <v>592</v>
      </c>
      <c r="D276" s="330" t="s">
        <v>229</v>
      </c>
      <c r="E276" s="330">
        <v>10</v>
      </c>
      <c r="F276" s="330"/>
      <c r="G276" s="332"/>
      <c r="H276" s="351"/>
    </row>
    <row r="277" s="306" customFormat="1" ht="25.5" customHeight="1" spans="1:8">
      <c r="A277" s="329">
        <v>64</v>
      </c>
      <c r="B277" s="330" t="s">
        <v>588</v>
      </c>
      <c r="C277" s="330" t="s">
        <v>593</v>
      </c>
      <c r="D277" s="330" t="s">
        <v>229</v>
      </c>
      <c r="E277" s="330">
        <v>10</v>
      </c>
      <c r="F277" s="330"/>
      <c r="G277" s="332"/>
      <c r="H277" s="351"/>
    </row>
    <row r="278" s="306" customFormat="1" ht="25.5" customHeight="1" spans="1:8">
      <c r="A278" s="329">
        <v>65</v>
      </c>
      <c r="B278" s="330" t="s">
        <v>588</v>
      </c>
      <c r="C278" s="330" t="s">
        <v>571</v>
      </c>
      <c r="D278" s="330" t="s">
        <v>229</v>
      </c>
      <c r="E278" s="330">
        <v>10</v>
      </c>
      <c r="F278" s="330"/>
      <c r="G278" s="332"/>
      <c r="H278" s="351"/>
    </row>
    <row r="279" s="306" customFormat="1" ht="25.5" customHeight="1" spans="1:8">
      <c r="A279" s="329">
        <v>66</v>
      </c>
      <c r="B279" s="330" t="s">
        <v>588</v>
      </c>
      <c r="C279" s="330" t="s">
        <v>586</v>
      </c>
      <c r="D279" s="330" t="s">
        <v>229</v>
      </c>
      <c r="E279" s="330">
        <v>10</v>
      </c>
      <c r="F279" s="330"/>
      <c r="G279" s="332"/>
      <c r="H279" s="351"/>
    </row>
    <row r="280" s="306" customFormat="1" ht="25.5" customHeight="1" spans="1:8">
      <c r="A280" s="329">
        <v>67</v>
      </c>
      <c r="B280" s="330" t="s">
        <v>594</v>
      </c>
      <c r="C280" s="330" t="s">
        <v>590</v>
      </c>
      <c r="D280" s="330" t="s">
        <v>229</v>
      </c>
      <c r="E280" s="330">
        <v>3</v>
      </c>
      <c r="F280" s="330"/>
      <c r="G280" s="332"/>
      <c r="H280" s="351"/>
    </row>
    <row r="281" s="306" customFormat="1" ht="25.5" customHeight="1" spans="1:8">
      <c r="A281" s="329">
        <v>68</v>
      </c>
      <c r="B281" s="330" t="s">
        <v>594</v>
      </c>
      <c r="C281" s="330" t="s">
        <v>591</v>
      </c>
      <c r="D281" s="330" t="s">
        <v>229</v>
      </c>
      <c r="E281" s="330">
        <v>3</v>
      </c>
      <c r="F281" s="330"/>
      <c r="G281" s="332"/>
      <c r="H281" s="351"/>
    </row>
    <row r="282" s="306" customFormat="1" ht="25.5" customHeight="1" spans="1:8">
      <c r="A282" s="329">
        <v>69</v>
      </c>
      <c r="B282" s="330" t="s">
        <v>594</v>
      </c>
      <c r="C282" s="330" t="s">
        <v>565</v>
      </c>
      <c r="D282" s="330" t="s">
        <v>229</v>
      </c>
      <c r="E282" s="330">
        <v>3</v>
      </c>
      <c r="F282" s="330"/>
      <c r="G282" s="332"/>
      <c r="H282" s="351"/>
    </row>
    <row r="283" s="306" customFormat="1" ht="25.5" customHeight="1" spans="1:8">
      <c r="A283" s="329">
        <v>70</v>
      </c>
      <c r="B283" s="330" t="s">
        <v>594</v>
      </c>
      <c r="C283" s="330" t="s">
        <v>595</v>
      </c>
      <c r="D283" s="330" t="s">
        <v>229</v>
      </c>
      <c r="E283" s="330">
        <v>5</v>
      </c>
      <c r="F283" s="330"/>
      <c r="G283" s="332"/>
      <c r="H283" s="351"/>
    </row>
    <row r="284" s="306" customFormat="1" ht="25.5" customHeight="1" spans="1:8">
      <c r="A284" s="329">
        <v>71</v>
      </c>
      <c r="B284" s="330" t="s">
        <v>594</v>
      </c>
      <c r="C284" s="330" t="s">
        <v>571</v>
      </c>
      <c r="D284" s="330" t="s">
        <v>229</v>
      </c>
      <c r="E284" s="330">
        <v>5</v>
      </c>
      <c r="F284" s="330"/>
      <c r="G284" s="332"/>
      <c r="H284" s="351"/>
    </row>
    <row r="285" s="306" customFormat="1" ht="25.5" customHeight="1" spans="1:8">
      <c r="A285" s="329">
        <v>72</v>
      </c>
      <c r="B285" s="330" t="s">
        <v>594</v>
      </c>
      <c r="C285" s="330" t="s">
        <v>572</v>
      </c>
      <c r="D285" s="330" t="s">
        <v>229</v>
      </c>
      <c r="E285" s="330">
        <v>3</v>
      </c>
      <c r="F285" s="330"/>
      <c r="G285" s="332"/>
      <c r="H285" s="351"/>
    </row>
    <row r="286" s="306" customFormat="1" ht="25.5" customHeight="1" spans="1:8">
      <c r="A286" s="329">
        <v>73</v>
      </c>
      <c r="B286" s="330" t="s">
        <v>596</v>
      </c>
      <c r="C286" s="330" t="s">
        <v>595</v>
      </c>
      <c r="D286" s="330" t="s">
        <v>229</v>
      </c>
      <c r="E286" s="330">
        <v>3</v>
      </c>
      <c r="F286" s="330"/>
      <c r="G286" s="332"/>
      <c r="H286" s="351"/>
    </row>
    <row r="287" s="306" customFormat="1" ht="25.5" customHeight="1" spans="1:8">
      <c r="A287" s="329">
        <v>74</v>
      </c>
      <c r="B287" s="330" t="s">
        <v>596</v>
      </c>
      <c r="C287" s="330" t="s">
        <v>571</v>
      </c>
      <c r="D287" s="330" t="s">
        <v>229</v>
      </c>
      <c r="E287" s="330">
        <v>3</v>
      </c>
      <c r="F287" s="330"/>
      <c r="G287" s="332"/>
      <c r="H287" s="351"/>
    </row>
    <row r="288" s="306" customFormat="1" ht="25.5" customHeight="1" spans="1:8">
      <c r="A288" s="329">
        <v>75</v>
      </c>
      <c r="B288" s="330" t="s">
        <v>597</v>
      </c>
      <c r="C288" s="330" t="s">
        <v>598</v>
      </c>
      <c r="D288" s="330" t="s">
        <v>229</v>
      </c>
      <c r="E288" s="330">
        <v>5</v>
      </c>
      <c r="F288" s="330"/>
      <c r="G288" s="332"/>
      <c r="H288" s="351"/>
    </row>
    <row r="289" s="306" customFormat="1" ht="25.5" customHeight="1" spans="1:8">
      <c r="A289" s="329">
        <v>76</v>
      </c>
      <c r="B289" s="330" t="s">
        <v>597</v>
      </c>
      <c r="C289" s="330" t="s">
        <v>599</v>
      </c>
      <c r="D289" s="330" t="s">
        <v>229</v>
      </c>
      <c r="E289" s="330">
        <v>5</v>
      </c>
      <c r="F289" s="330"/>
      <c r="G289" s="332"/>
      <c r="H289" s="351"/>
    </row>
    <row r="290" s="306" customFormat="1" ht="25.5" customHeight="1" spans="1:8">
      <c r="A290" s="329">
        <v>77</v>
      </c>
      <c r="B290" s="330" t="s">
        <v>597</v>
      </c>
      <c r="C290" s="330" t="s">
        <v>571</v>
      </c>
      <c r="D290" s="330" t="s">
        <v>229</v>
      </c>
      <c r="E290" s="330">
        <v>5</v>
      </c>
      <c r="F290" s="330"/>
      <c r="G290" s="332"/>
      <c r="H290" s="351"/>
    </row>
    <row r="291" s="306" customFormat="1" ht="25.5" customHeight="1" spans="1:8">
      <c r="A291" s="329">
        <v>78</v>
      </c>
      <c r="B291" s="330" t="s">
        <v>600</v>
      </c>
      <c r="C291" s="330" t="s">
        <v>595</v>
      </c>
      <c r="D291" s="330" t="s">
        <v>229</v>
      </c>
      <c r="E291" s="330">
        <v>10</v>
      </c>
      <c r="F291" s="330"/>
      <c r="G291" s="332"/>
      <c r="H291" s="351"/>
    </row>
    <row r="292" s="306" customFormat="1" ht="25.5" customHeight="1" spans="1:8">
      <c r="A292" s="329">
        <v>79</v>
      </c>
      <c r="B292" s="330" t="s">
        <v>601</v>
      </c>
      <c r="C292" s="330" t="s">
        <v>602</v>
      </c>
      <c r="D292" s="330" t="s">
        <v>229</v>
      </c>
      <c r="E292" s="330">
        <v>5</v>
      </c>
      <c r="F292" s="330"/>
      <c r="G292" s="332"/>
      <c r="H292" s="351"/>
    </row>
    <row r="293" s="306" customFormat="1" ht="25.5" customHeight="1" spans="1:8">
      <c r="A293" s="329">
        <v>80</v>
      </c>
      <c r="B293" s="330" t="s">
        <v>603</v>
      </c>
      <c r="C293" s="330" t="s">
        <v>591</v>
      </c>
      <c r="D293" s="330" t="s">
        <v>229</v>
      </c>
      <c r="E293" s="330">
        <v>5</v>
      </c>
      <c r="F293" s="330"/>
      <c r="G293" s="332"/>
      <c r="H293" s="351"/>
    </row>
    <row r="294" s="306" customFormat="1" ht="25.5" customHeight="1" spans="1:8">
      <c r="A294" s="329">
        <v>81</v>
      </c>
      <c r="B294" s="330" t="s">
        <v>603</v>
      </c>
      <c r="C294" s="330" t="s">
        <v>592</v>
      </c>
      <c r="D294" s="330" t="s">
        <v>229</v>
      </c>
      <c r="E294" s="330">
        <v>5</v>
      </c>
      <c r="F294" s="330"/>
      <c r="G294" s="332"/>
      <c r="H294" s="351"/>
    </row>
    <row r="295" s="306" customFormat="1" ht="25.5" customHeight="1" spans="1:8">
      <c r="A295" s="329">
        <v>82</v>
      </c>
      <c r="B295" s="330" t="s">
        <v>604</v>
      </c>
      <c r="C295" s="330" t="s">
        <v>605</v>
      </c>
      <c r="D295" s="330" t="s">
        <v>229</v>
      </c>
      <c r="E295" s="330">
        <v>3</v>
      </c>
      <c r="F295" s="330"/>
      <c r="G295" s="332"/>
      <c r="H295" s="331" t="s">
        <v>606</v>
      </c>
    </row>
    <row r="296" s="306" customFormat="1" ht="25.5" customHeight="1" spans="1:8">
      <c r="A296" s="329">
        <v>83</v>
      </c>
      <c r="B296" s="330" t="s">
        <v>604</v>
      </c>
      <c r="C296" s="330" t="s">
        <v>607</v>
      </c>
      <c r="D296" s="330" t="s">
        <v>229</v>
      </c>
      <c r="E296" s="330">
        <v>3</v>
      </c>
      <c r="F296" s="330"/>
      <c r="G296" s="332"/>
      <c r="H296" s="351"/>
    </row>
    <row r="297" s="306" customFormat="1" ht="25.5" customHeight="1" spans="1:8">
      <c r="A297" s="329">
        <v>84</v>
      </c>
      <c r="B297" s="330" t="s">
        <v>604</v>
      </c>
      <c r="C297" s="330" t="s">
        <v>608</v>
      </c>
      <c r="D297" s="330" t="s">
        <v>229</v>
      </c>
      <c r="E297" s="330">
        <v>3</v>
      </c>
      <c r="F297" s="330"/>
      <c r="G297" s="332"/>
      <c r="H297" s="351"/>
    </row>
    <row r="298" s="306" customFormat="1" ht="25.5" customHeight="1" spans="1:8">
      <c r="A298" s="329">
        <v>85</v>
      </c>
      <c r="B298" s="330" t="s">
        <v>604</v>
      </c>
      <c r="C298" s="330" t="s">
        <v>609</v>
      </c>
      <c r="D298" s="330" t="s">
        <v>229</v>
      </c>
      <c r="E298" s="330">
        <v>3</v>
      </c>
      <c r="F298" s="330"/>
      <c r="G298" s="332"/>
      <c r="H298" s="351"/>
    </row>
    <row r="299" s="306" customFormat="1" ht="25.5" customHeight="1" spans="1:8">
      <c r="A299" s="329">
        <v>86</v>
      </c>
      <c r="B299" s="330" t="s">
        <v>610</v>
      </c>
      <c r="C299" s="330"/>
      <c r="D299" s="330" t="s">
        <v>229</v>
      </c>
      <c r="E299" s="330">
        <v>15</v>
      </c>
      <c r="F299" s="330"/>
      <c r="G299" s="332"/>
      <c r="H299" s="351"/>
    </row>
    <row r="300" s="306" customFormat="1" ht="25.5" customHeight="1" spans="1:8">
      <c r="A300" s="329">
        <v>87</v>
      </c>
      <c r="B300" s="330" t="s">
        <v>611</v>
      </c>
      <c r="C300" s="330"/>
      <c r="D300" s="330" t="s">
        <v>229</v>
      </c>
      <c r="E300" s="330">
        <v>20</v>
      </c>
      <c r="F300" s="330"/>
      <c r="G300" s="332"/>
      <c r="H300" s="351"/>
    </row>
    <row r="301" s="306" customFormat="1" ht="25.5" customHeight="1" spans="1:8">
      <c r="A301" s="329">
        <v>88</v>
      </c>
      <c r="B301" s="330" t="s">
        <v>612</v>
      </c>
      <c r="C301" s="330" t="s">
        <v>613</v>
      </c>
      <c r="D301" s="330" t="s">
        <v>229</v>
      </c>
      <c r="E301" s="330">
        <v>10</v>
      </c>
      <c r="F301" s="330"/>
      <c r="G301" s="332"/>
      <c r="H301" s="351"/>
    </row>
    <row r="302" s="306" customFormat="1" ht="25.5" customHeight="1" spans="1:8">
      <c r="A302" s="329">
        <v>89</v>
      </c>
      <c r="B302" s="330" t="s">
        <v>612</v>
      </c>
      <c r="C302" s="330" t="s">
        <v>614</v>
      </c>
      <c r="D302" s="330" t="s">
        <v>229</v>
      </c>
      <c r="E302" s="330">
        <v>10</v>
      </c>
      <c r="F302" s="330"/>
      <c r="G302" s="332"/>
      <c r="H302" s="351"/>
    </row>
    <row r="303" s="306" customFormat="1" ht="25.5" customHeight="1" spans="1:8">
      <c r="A303" s="329">
        <v>90</v>
      </c>
      <c r="B303" s="330" t="s">
        <v>615</v>
      </c>
      <c r="C303" s="330" t="s">
        <v>590</v>
      </c>
      <c r="D303" s="330" t="s">
        <v>229</v>
      </c>
      <c r="E303" s="330">
        <v>2</v>
      </c>
      <c r="F303" s="330"/>
      <c r="G303" s="332"/>
      <c r="H303" s="351"/>
    </row>
    <row r="304" s="306" customFormat="1" ht="25.5" customHeight="1" spans="1:8">
      <c r="A304" s="329">
        <v>91</v>
      </c>
      <c r="B304" s="330" t="s">
        <v>615</v>
      </c>
      <c r="C304" s="330" t="s">
        <v>591</v>
      </c>
      <c r="D304" s="330" t="s">
        <v>229</v>
      </c>
      <c r="E304" s="330">
        <v>5</v>
      </c>
      <c r="F304" s="330"/>
      <c r="G304" s="332"/>
      <c r="H304" s="351"/>
    </row>
    <row r="305" s="306" customFormat="1" ht="25.5" customHeight="1" spans="1:8">
      <c r="A305" s="329">
        <v>92</v>
      </c>
      <c r="B305" s="330" t="s">
        <v>615</v>
      </c>
      <c r="C305" s="330" t="s">
        <v>565</v>
      </c>
      <c r="D305" s="330" t="s">
        <v>229</v>
      </c>
      <c r="E305" s="330">
        <v>10</v>
      </c>
      <c r="F305" s="330"/>
      <c r="G305" s="332"/>
      <c r="H305" s="351"/>
    </row>
    <row r="306" s="306" customFormat="1" ht="25.5" customHeight="1" spans="1:8">
      <c r="A306" s="329">
        <v>93</v>
      </c>
      <c r="B306" s="330" t="s">
        <v>616</v>
      </c>
      <c r="C306" s="330" t="s">
        <v>617</v>
      </c>
      <c r="D306" s="330" t="s">
        <v>229</v>
      </c>
      <c r="E306" s="330">
        <v>2</v>
      </c>
      <c r="F306" s="330"/>
      <c r="G306" s="332"/>
      <c r="H306" s="351"/>
    </row>
    <row r="307" s="306" customFormat="1" ht="25.5" customHeight="1" spans="1:8">
      <c r="A307" s="329">
        <v>94</v>
      </c>
      <c r="B307" s="330" t="s">
        <v>618</v>
      </c>
      <c r="C307" s="330" t="s">
        <v>619</v>
      </c>
      <c r="D307" s="330" t="s">
        <v>229</v>
      </c>
      <c r="E307" s="330">
        <v>6</v>
      </c>
      <c r="F307" s="330"/>
      <c r="G307" s="332"/>
      <c r="H307" s="351"/>
    </row>
    <row r="308" s="306" customFormat="1" ht="25.5" customHeight="1" spans="1:8">
      <c r="A308" s="329">
        <v>95</v>
      </c>
      <c r="B308" s="330" t="s">
        <v>620</v>
      </c>
      <c r="C308" s="330" t="s">
        <v>607</v>
      </c>
      <c r="D308" s="330" t="s">
        <v>229</v>
      </c>
      <c r="E308" s="330">
        <v>5</v>
      </c>
      <c r="F308" s="330"/>
      <c r="G308" s="332"/>
      <c r="H308" s="351"/>
    </row>
    <row r="309" s="306" customFormat="1" ht="25.5" customHeight="1" spans="1:8">
      <c r="A309" s="329">
        <v>96</v>
      </c>
      <c r="B309" s="330" t="s">
        <v>620</v>
      </c>
      <c r="C309" s="330" t="s">
        <v>621</v>
      </c>
      <c r="D309" s="330" t="s">
        <v>229</v>
      </c>
      <c r="E309" s="330">
        <v>5</v>
      </c>
      <c r="F309" s="330"/>
      <c r="G309" s="332"/>
      <c r="H309" s="351"/>
    </row>
    <row r="310" s="306" customFormat="1" ht="25.5" customHeight="1" spans="1:8">
      <c r="A310" s="329">
        <v>97</v>
      </c>
      <c r="B310" s="330" t="s">
        <v>620</v>
      </c>
      <c r="C310" s="330" t="s">
        <v>622</v>
      </c>
      <c r="D310" s="330" t="s">
        <v>229</v>
      </c>
      <c r="E310" s="330">
        <v>5</v>
      </c>
      <c r="F310" s="330"/>
      <c r="G310" s="332"/>
      <c r="H310" s="351"/>
    </row>
    <row r="311" s="306" customFormat="1" ht="25.5" customHeight="1" spans="1:8">
      <c r="A311" s="329">
        <v>98</v>
      </c>
      <c r="B311" s="330" t="s">
        <v>620</v>
      </c>
      <c r="C311" s="330" t="s">
        <v>623</v>
      </c>
      <c r="D311" s="330" t="s">
        <v>229</v>
      </c>
      <c r="E311" s="330">
        <v>5</v>
      </c>
      <c r="F311" s="330"/>
      <c r="G311" s="332"/>
      <c r="H311" s="351"/>
    </row>
    <row r="312" s="306" customFormat="1" ht="25.5" customHeight="1" spans="1:8">
      <c r="A312" s="329">
        <v>99</v>
      </c>
      <c r="B312" s="330" t="s">
        <v>620</v>
      </c>
      <c r="C312" s="330" t="s">
        <v>609</v>
      </c>
      <c r="D312" s="330" t="s">
        <v>229</v>
      </c>
      <c r="E312" s="330">
        <v>5</v>
      </c>
      <c r="F312" s="330"/>
      <c r="G312" s="332"/>
      <c r="H312" s="351"/>
    </row>
    <row r="313" s="306" customFormat="1" ht="25.5" customHeight="1" spans="1:8">
      <c r="A313" s="329">
        <v>100</v>
      </c>
      <c r="B313" s="330" t="s">
        <v>620</v>
      </c>
      <c r="C313" s="330" t="s">
        <v>624</v>
      </c>
      <c r="D313" s="330" t="s">
        <v>229</v>
      </c>
      <c r="E313" s="330">
        <v>5</v>
      </c>
      <c r="F313" s="330"/>
      <c r="G313" s="332"/>
      <c r="H313" s="351"/>
    </row>
    <row r="314" s="306" customFormat="1" ht="25.5" customHeight="1" spans="1:8">
      <c r="A314" s="329">
        <v>101</v>
      </c>
      <c r="B314" s="330" t="s">
        <v>620</v>
      </c>
      <c r="C314" s="330" t="s">
        <v>625</v>
      </c>
      <c r="D314" s="330" t="s">
        <v>229</v>
      </c>
      <c r="E314" s="330">
        <v>5</v>
      </c>
      <c r="F314" s="330"/>
      <c r="G314" s="332"/>
      <c r="H314" s="351"/>
    </row>
    <row r="315" s="306" customFormat="1" ht="25.5" customHeight="1" spans="1:8">
      <c r="A315" s="329">
        <v>102</v>
      </c>
      <c r="B315" s="330" t="s">
        <v>620</v>
      </c>
      <c r="C315" s="330" t="s">
        <v>626</v>
      </c>
      <c r="D315" s="330" t="s">
        <v>229</v>
      </c>
      <c r="E315" s="330">
        <v>5</v>
      </c>
      <c r="F315" s="330"/>
      <c r="G315" s="332"/>
      <c r="H315" s="351"/>
    </row>
    <row r="316" s="306" customFormat="1" ht="25.5" customHeight="1" spans="1:8">
      <c r="A316" s="329">
        <v>103</v>
      </c>
      <c r="B316" s="330" t="s">
        <v>627</v>
      </c>
      <c r="C316" s="330" t="s">
        <v>628</v>
      </c>
      <c r="D316" s="330" t="s">
        <v>229</v>
      </c>
      <c r="E316" s="330">
        <v>3</v>
      </c>
      <c r="F316" s="330"/>
      <c r="G316" s="332"/>
      <c r="H316" s="351"/>
    </row>
    <row r="317" s="306" customFormat="1" ht="25.5" customHeight="1" spans="1:8">
      <c r="A317" s="329">
        <v>104</v>
      </c>
      <c r="B317" s="330" t="s">
        <v>629</v>
      </c>
      <c r="C317" s="330" t="s">
        <v>630</v>
      </c>
      <c r="D317" s="330" t="s">
        <v>229</v>
      </c>
      <c r="E317" s="330">
        <v>1</v>
      </c>
      <c r="F317" s="330"/>
      <c r="G317" s="332"/>
      <c r="H317" s="351"/>
    </row>
    <row r="318" s="306" customFormat="1" ht="25.5" customHeight="1" spans="1:8">
      <c r="A318" s="329">
        <v>105</v>
      </c>
      <c r="B318" s="330" t="s">
        <v>629</v>
      </c>
      <c r="C318" s="330" t="s">
        <v>631</v>
      </c>
      <c r="D318" s="330" t="s">
        <v>229</v>
      </c>
      <c r="E318" s="330">
        <v>1</v>
      </c>
      <c r="F318" s="330"/>
      <c r="G318" s="332"/>
      <c r="H318" s="351"/>
    </row>
    <row r="319" s="306" customFormat="1" ht="25.5" customHeight="1" spans="1:8">
      <c r="A319" s="329">
        <v>106</v>
      </c>
      <c r="B319" s="330" t="s">
        <v>632</v>
      </c>
      <c r="C319" s="330" t="s">
        <v>590</v>
      </c>
      <c r="D319" s="330" t="s">
        <v>229</v>
      </c>
      <c r="E319" s="330">
        <v>5</v>
      </c>
      <c r="F319" s="330"/>
      <c r="G319" s="332"/>
      <c r="H319" s="351"/>
    </row>
    <row r="320" s="306" customFormat="1" ht="25.5" customHeight="1" spans="1:8">
      <c r="A320" s="329">
        <v>107</v>
      </c>
      <c r="B320" s="330" t="s">
        <v>632</v>
      </c>
      <c r="C320" s="330" t="s">
        <v>591</v>
      </c>
      <c r="D320" s="330" t="s">
        <v>229</v>
      </c>
      <c r="E320" s="330">
        <v>5</v>
      </c>
      <c r="F320" s="330"/>
      <c r="G320" s="332"/>
      <c r="H320" s="351"/>
    </row>
    <row r="321" s="306" customFormat="1" ht="25.5" customHeight="1" spans="1:8">
      <c r="A321" s="329">
        <v>108</v>
      </c>
      <c r="B321" s="330" t="s">
        <v>632</v>
      </c>
      <c r="C321" s="330" t="s">
        <v>565</v>
      </c>
      <c r="D321" s="330" t="s">
        <v>229</v>
      </c>
      <c r="E321" s="330">
        <v>5</v>
      </c>
      <c r="F321" s="330"/>
      <c r="G321" s="332"/>
      <c r="H321" s="351"/>
    </row>
    <row r="322" s="306" customFormat="1" ht="25.5" customHeight="1" spans="1:8">
      <c r="A322" s="329">
        <v>109</v>
      </c>
      <c r="B322" s="330" t="s">
        <v>633</v>
      </c>
      <c r="C322" s="330" t="s">
        <v>634</v>
      </c>
      <c r="D322" s="330" t="s">
        <v>229</v>
      </c>
      <c r="E322" s="330">
        <v>5</v>
      </c>
      <c r="F322" s="330"/>
      <c r="G322" s="332"/>
      <c r="H322" s="351"/>
    </row>
    <row r="323" s="306" customFormat="1" ht="25.5" customHeight="1" spans="1:8">
      <c r="A323" s="329">
        <v>110</v>
      </c>
      <c r="B323" s="330" t="s">
        <v>633</v>
      </c>
      <c r="C323" s="330" t="s">
        <v>635</v>
      </c>
      <c r="D323" s="330" t="s">
        <v>229</v>
      </c>
      <c r="E323" s="330">
        <v>5</v>
      </c>
      <c r="F323" s="330"/>
      <c r="G323" s="332"/>
      <c r="H323" s="351"/>
    </row>
    <row r="324" s="306" customFormat="1" ht="25.5" customHeight="1" spans="1:8">
      <c r="A324" s="329">
        <v>111</v>
      </c>
      <c r="B324" s="330" t="s">
        <v>636</v>
      </c>
      <c r="C324" s="330" t="s">
        <v>590</v>
      </c>
      <c r="D324" s="330" t="s">
        <v>229</v>
      </c>
      <c r="E324" s="330">
        <v>2</v>
      </c>
      <c r="F324" s="330"/>
      <c r="G324" s="332"/>
      <c r="H324" s="351"/>
    </row>
    <row r="325" s="306" customFormat="1" ht="25.5" customHeight="1" spans="1:8">
      <c r="A325" s="329">
        <v>112</v>
      </c>
      <c r="B325" s="330" t="s">
        <v>637</v>
      </c>
      <c r="C325" s="330" t="s">
        <v>589</v>
      </c>
      <c r="D325" s="330" t="s">
        <v>229</v>
      </c>
      <c r="E325" s="330">
        <v>3</v>
      </c>
      <c r="F325" s="330"/>
      <c r="G325" s="332"/>
      <c r="H325" s="351"/>
    </row>
    <row r="326" s="306" customFormat="1" ht="25.5" customHeight="1" spans="1:8">
      <c r="A326" s="329">
        <v>113</v>
      </c>
      <c r="B326" s="330" t="s">
        <v>637</v>
      </c>
      <c r="C326" s="330" t="s">
        <v>590</v>
      </c>
      <c r="D326" s="330" t="s">
        <v>229</v>
      </c>
      <c r="E326" s="330">
        <v>5</v>
      </c>
      <c r="F326" s="330"/>
      <c r="G326" s="332"/>
      <c r="H326" s="351"/>
    </row>
    <row r="327" s="306" customFormat="1" ht="25.5" customHeight="1" spans="1:8">
      <c r="A327" s="329">
        <v>114</v>
      </c>
      <c r="B327" s="330" t="s">
        <v>637</v>
      </c>
      <c r="C327" s="330" t="s">
        <v>591</v>
      </c>
      <c r="D327" s="330" t="s">
        <v>229</v>
      </c>
      <c r="E327" s="330">
        <v>5</v>
      </c>
      <c r="F327" s="330"/>
      <c r="G327" s="332"/>
      <c r="H327" s="351"/>
    </row>
    <row r="328" s="306" customFormat="1" ht="25.5" customHeight="1" spans="1:8">
      <c r="A328" s="329">
        <v>115</v>
      </c>
      <c r="B328" s="330" t="s">
        <v>637</v>
      </c>
      <c r="C328" s="330" t="s">
        <v>592</v>
      </c>
      <c r="D328" s="330" t="s">
        <v>229</v>
      </c>
      <c r="E328" s="330">
        <v>5</v>
      </c>
      <c r="F328" s="330"/>
      <c r="G328" s="332"/>
      <c r="H328" s="351"/>
    </row>
    <row r="329" s="306" customFormat="1" ht="25.5" customHeight="1" spans="1:8">
      <c r="A329" s="329">
        <v>116</v>
      </c>
      <c r="B329" s="330" t="s">
        <v>637</v>
      </c>
      <c r="C329" s="330" t="s">
        <v>595</v>
      </c>
      <c r="D329" s="330" t="s">
        <v>229</v>
      </c>
      <c r="E329" s="330">
        <v>5</v>
      </c>
      <c r="F329" s="330"/>
      <c r="G329" s="332"/>
      <c r="H329" s="351"/>
    </row>
    <row r="330" s="306" customFormat="1" ht="25.5" customHeight="1" spans="1:8">
      <c r="A330" s="329">
        <v>117</v>
      </c>
      <c r="B330" s="330" t="s">
        <v>638</v>
      </c>
      <c r="C330" s="330" t="s">
        <v>639</v>
      </c>
      <c r="D330" s="330" t="s">
        <v>229</v>
      </c>
      <c r="E330" s="330">
        <v>2</v>
      </c>
      <c r="F330" s="330"/>
      <c r="G330" s="332"/>
      <c r="H330" s="331" t="s">
        <v>606</v>
      </c>
    </row>
    <row r="331" s="306" customFormat="1" ht="25.5" customHeight="1" spans="1:8">
      <c r="A331" s="329">
        <v>118</v>
      </c>
      <c r="B331" s="330" t="s">
        <v>640</v>
      </c>
      <c r="C331" s="330"/>
      <c r="D331" s="330" t="s">
        <v>229</v>
      </c>
      <c r="E331" s="330">
        <v>2</v>
      </c>
      <c r="F331" s="330"/>
      <c r="G331" s="332"/>
      <c r="H331" s="351"/>
    </row>
    <row r="332" s="306" customFormat="1" ht="25.5" customHeight="1" spans="1:8">
      <c r="A332" s="329">
        <v>119</v>
      </c>
      <c r="B332" s="330" t="s">
        <v>641</v>
      </c>
      <c r="C332" s="330"/>
      <c r="D332" s="330" t="s">
        <v>229</v>
      </c>
      <c r="E332" s="330">
        <v>6</v>
      </c>
      <c r="F332" s="330"/>
      <c r="G332" s="332"/>
      <c r="H332" s="331" t="s">
        <v>606</v>
      </c>
    </row>
    <row r="333" s="306" customFormat="1" ht="25.5" customHeight="1" spans="1:8">
      <c r="A333" s="329">
        <v>120</v>
      </c>
      <c r="B333" s="330" t="s">
        <v>642</v>
      </c>
      <c r="C333" s="330"/>
      <c r="D333" s="330" t="s">
        <v>229</v>
      </c>
      <c r="E333" s="330">
        <v>6</v>
      </c>
      <c r="F333" s="330"/>
      <c r="G333" s="332"/>
      <c r="H333" s="351"/>
    </row>
    <row r="334" s="306" customFormat="1" ht="25.5" customHeight="1" spans="1:8">
      <c r="A334" s="329">
        <v>121</v>
      </c>
      <c r="B334" s="330" t="s">
        <v>643</v>
      </c>
      <c r="C334" s="330"/>
      <c r="D334" s="330" t="s">
        <v>229</v>
      </c>
      <c r="E334" s="330">
        <v>6</v>
      </c>
      <c r="F334" s="330"/>
      <c r="G334" s="332"/>
      <c r="H334" s="351"/>
    </row>
    <row r="335" s="306" customFormat="1" ht="25.5" customHeight="1" spans="1:8">
      <c r="A335" s="329">
        <v>122</v>
      </c>
      <c r="B335" s="330" t="s">
        <v>644</v>
      </c>
      <c r="C335" s="330" t="s">
        <v>645</v>
      </c>
      <c r="D335" s="330" t="s">
        <v>229</v>
      </c>
      <c r="E335" s="330">
        <v>6</v>
      </c>
      <c r="F335" s="330"/>
      <c r="G335" s="332"/>
      <c r="H335" s="351"/>
    </row>
    <row r="336" s="306" customFormat="1" ht="25.5" customHeight="1" spans="1:8">
      <c r="A336" s="329">
        <v>123</v>
      </c>
      <c r="B336" s="330" t="s">
        <v>646</v>
      </c>
      <c r="C336" s="330"/>
      <c r="D336" s="330" t="s">
        <v>229</v>
      </c>
      <c r="E336" s="330" t="s">
        <v>647</v>
      </c>
      <c r="F336" s="330"/>
      <c r="G336" s="332"/>
      <c r="H336" s="351"/>
    </row>
    <row r="337" s="306" customFormat="1" ht="25.5" customHeight="1" spans="1:8">
      <c r="A337" s="329">
        <v>124</v>
      </c>
      <c r="B337" s="330" t="s">
        <v>648</v>
      </c>
      <c r="C337" s="330" t="s">
        <v>565</v>
      </c>
      <c r="D337" s="330" t="s">
        <v>229</v>
      </c>
      <c r="E337" s="330">
        <v>10</v>
      </c>
      <c r="F337" s="330"/>
      <c r="G337" s="332"/>
      <c r="H337" s="351"/>
    </row>
    <row r="338" s="306" customFormat="1" ht="25.5" customHeight="1" spans="1:8">
      <c r="A338" s="329">
        <v>125</v>
      </c>
      <c r="B338" s="330" t="s">
        <v>649</v>
      </c>
      <c r="C338" s="330" t="s">
        <v>650</v>
      </c>
      <c r="D338" s="330" t="s">
        <v>229</v>
      </c>
      <c r="E338" s="330">
        <v>1</v>
      </c>
      <c r="F338" s="330"/>
      <c r="G338" s="332"/>
      <c r="H338" s="351"/>
    </row>
    <row r="339" s="306" customFormat="1" ht="25.5" customHeight="1" spans="1:8">
      <c r="A339" s="329">
        <v>126</v>
      </c>
      <c r="B339" s="330" t="s">
        <v>651</v>
      </c>
      <c r="C339" s="330" t="s">
        <v>652</v>
      </c>
      <c r="D339" s="330" t="s">
        <v>229</v>
      </c>
      <c r="E339" s="330">
        <v>1</v>
      </c>
      <c r="F339" s="330"/>
      <c r="G339" s="332"/>
      <c r="H339" s="351"/>
    </row>
    <row r="340" s="306" customFormat="1" ht="25.5" customHeight="1" spans="1:8">
      <c r="A340" s="329">
        <v>127</v>
      </c>
      <c r="B340" s="330" t="s">
        <v>653</v>
      </c>
      <c r="C340" s="330" t="s">
        <v>654</v>
      </c>
      <c r="D340" s="330" t="s">
        <v>229</v>
      </c>
      <c r="E340" s="330">
        <v>1</v>
      </c>
      <c r="F340" s="330"/>
      <c r="G340" s="332"/>
      <c r="H340" s="351"/>
    </row>
    <row r="341" s="306" customFormat="1" ht="25.5" customHeight="1" spans="1:8">
      <c r="A341" s="329">
        <v>128</v>
      </c>
      <c r="B341" s="330" t="s">
        <v>655</v>
      </c>
      <c r="C341" s="330" t="s">
        <v>656</v>
      </c>
      <c r="D341" s="330" t="s">
        <v>229</v>
      </c>
      <c r="E341" s="330">
        <v>2</v>
      </c>
      <c r="F341" s="330"/>
      <c r="G341" s="332"/>
      <c r="H341" s="351"/>
    </row>
    <row r="342" s="306" customFormat="1" ht="25.5" customHeight="1" spans="1:8">
      <c r="A342" s="329">
        <v>129</v>
      </c>
      <c r="B342" s="330" t="s">
        <v>657</v>
      </c>
      <c r="C342" s="330" t="s">
        <v>658</v>
      </c>
      <c r="D342" s="330" t="s">
        <v>229</v>
      </c>
      <c r="E342" s="330">
        <v>3</v>
      </c>
      <c r="F342" s="330"/>
      <c r="G342" s="332"/>
      <c r="H342" s="351"/>
    </row>
    <row r="343" s="306" customFormat="1" ht="25.5" customHeight="1" spans="1:8">
      <c r="A343" s="329">
        <v>130</v>
      </c>
      <c r="B343" s="330" t="s">
        <v>659</v>
      </c>
      <c r="C343" s="330" t="s">
        <v>660</v>
      </c>
      <c r="D343" s="330" t="s">
        <v>229</v>
      </c>
      <c r="E343" s="330">
        <v>2</v>
      </c>
      <c r="F343" s="330"/>
      <c r="G343" s="332"/>
      <c r="H343" s="351"/>
    </row>
    <row r="344" s="306" customFormat="1" ht="25.5" customHeight="1" spans="1:8">
      <c r="A344" s="329">
        <v>131</v>
      </c>
      <c r="B344" s="330" t="s">
        <v>659</v>
      </c>
      <c r="C344" s="330" t="s">
        <v>661</v>
      </c>
      <c r="D344" s="330" t="s">
        <v>229</v>
      </c>
      <c r="E344" s="330">
        <v>2</v>
      </c>
      <c r="F344" s="330"/>
      <c r="G344" s="332"/>
      <c r="H344" s="351"/>
    </row>
    <row r="345" s="306" customFormat="1" ht="25.5" customHeight="1" spans="1:8">
      <c r="A345" s="329">
        <v>132</v>
      </c>
      <c r="B345" s="330" t="s">
        <v>662</v>
      </c>
      <c r="C345" s="330" t="s">
        <v>663</v>
      </c>
      <c r="D345" s="330" t="s">
        <v>229</v>
      </c>
      <c r="E345" s="330">
        <v>3</v>
      </c>
      <c r="F345" s="330"/>
      <c r="G345" s="332"/>
      <c r="H345" s="351"/>
    </row>
    <row r="346" s="306" customFormat="1" ht="25.5" customHeight="1" spans="1:8">
      <c r="A346" s="329">
        <v>133</v>
      </c>
      <c r="B346" s="330" t="s">
        <v>662</v>
      </c>
      <c r="C346" s="330" t="s">
        <v>664</v>
      </c>
      <c r="D346" s="330" t="s">
        <v>229</v>
      </c>
      <c r="E346" s="330">
        <v>3</v>
      </c>
      <c r="F346" s="330"/>
      <c r="G346" s="332"/>
      <c r="H346" s="351"/>
    </row>
    <row r="347" s="306" customFormat="1" ht="25.5" customHeight="1" spans="1:8">
      <c r="A347" s="329">
        <v>134</v>
      </c>
      <c r="B347" s="330" t="s">
        <v>665</v>
      </c>
      <c r="C347" s="330" t="s">
        <v>666</v>
      </c>
      <c r="D347" s="330" t="s">
        <v>229</v>
      </c>
      <c r="E347" s="330">
        <v>3</v>
      </c>
      <c r="F347" s="330"/>
      <c r="G347" s="332"/>
      <c r="H347" s="351"/>
    </row>
    <row r="348" s="306" customFormat="1" ht="25.5" customHeight="1" spans="1:8">
      <c r="A348" s="329">
        <v>135</v>
      </c>
      <c r="B348" s="330" t="s">
        <v>665</v>
      </c>
      <c r="C348" s="330" t="s">
        <v>667</v>
      </c>
      <c r="D348" s="330" t="s">
        <v>229</v>
      </c>
      <c r="E348" s="330">
        <v>3</v>
      </c>
      <c r="F348" s="330"/>
      <c r="G348" s="332"/>
      <c r="H348" s="351"/>
    </row>
    <row r="349" s="306" customFormat="1" ht="25.5" customHeight="1" spans="1:8">
      <c r="A349" s="329">
        <v>136</v>
      </c>
      <c r="B349" s="330" t="s">
        <v>665</v>
      </c>
      <c r="C349" s="330" t="s">
        <v>668</v>
      </c>
      <c r="D349" s="330" t="s">
        <v>229</v>
      </c>
      <c r="E349" s="330">
        <v>3</v>
      </c>
      <c r="F349" s="330"/>
      <c r="G349" s="332"/>
      <c r="H349" s="351"/>
    </row>
    <row r="350" s="306" customFormat="1" ht="25.5" customHeight="1" spans="1:8">
      <c r="A350" s="329">
        <v>137</v>
      </c>
      <c r="B350" s="330" t="s">
        <v>669</v>
      </c>
      <c r="C350" s="330" t="s">
        <v>670</v>
      </c>
      <c r="D350" s="330" t="s">
        <v>229</v>
      </c>
      <c r="E350" s="330">
        <v>2</v>
      </c>
      <c r="F350" s="330"/>
      <c r="G350" s="332"/>
      <c r="H350" s="351"/>
    </row>
    <row r="351" s="306" customFormat="1" ht="25.5" customHeight="1" spans="1:8">
      <c r="A351" s="329">
        <v>138</v>
      </c>
      <c r="B351" s="330" t="s">
        <v>671</v>
      </c>
      <c r="C351" s="330" t="s">
        <v>672</v>
      </c>
      <c r="D351" s="330" t="s">
        <v>229</v>
      </c>
      <c r="E351" s="330">
        <v>2</v>
      </c>
      <c r="F351" s="330"/>
      <c r="G351" s="332"/>
      <c r="H351" s="351"/>
    </row>
    <row r="352" s="306" customFormat="1" ht="25.5" customHeight="1" spans="1:8">
      <c r="A352" s="329">
        <v>139</v>
      </c>
      <c r="B352" s="330" t="s">
        <v>671</v>
      </c>
      <c r="C352" s="330" t="s">
        <v>673</v>
      </c>
      <c r="D352" s="330" t="s">
        <v>229</v>
      </c>
      <c r="E352" s="330">
        <v>2</v>
      </c>
      <c r="F352" s="330"/>
      <c r="G352" s="332"/>
      <c r="H352" s="351"/>
    </row>
    <row r="353" s="306" customFormat="1" ht="25.5" customHeight="1" spans="1:8">
      <c r="A353" s="329">
        <v>140</v>
      </c>
      <c r="B353" s="330" t="s">
        <v>674</v>
      </c>
      <c r="C353" s="330" t="s">
        <v>675</v>
      </c>
      <c r="D353" s="330" t="s">
        <v>229</v>
      </c>
      <c r="E353" s="330">
        <v>1</v>
      </c>
      <c r="F353" s="330"/>
      <c r="G353" s="332"/>
      <c r="H353" s="351"/>
    </row>
    <row r="354" s="306" customFormat="1" ht="25.5" customHeight="1" spans="1:8">
      <c r="A354" s="329">
        <v>141</v>
      </c>
      <c r="B354" s="330" t="s">
        <v>676</v>
      </c>
      <c r="C354" s="330" t="s">
        <v>677</v>
      </c>
      <c r="D354" s="330" t="s">
        <v>229</v>
      </c>
      <c r="E354" s="330">
        <v>10</v>
      </c>
      <c r="F354" s="330"/>
      <c r="G354" s="332"/>
      <c r="H354" s="351"/>
    </row>
    <row r="355" s="306" customFormat="1" ht="25.5" customHeight="1" spans="1:8">
      <c r="A355" s="329">
        <v>142</v>
      </c>
      <c r="B355" s="330" t="s">
        <v>678</v>
      </c>
      <c r="C355" s="330" t="s">
        <v>679</v>
      </c>
      <c r="D355" s="330" t="s">
        <v>229</v>
      </c>
      <c r="E355" s="330">
        <v>2</v>
      </c>
      <c r="F355" s="330"/>
      <c r="G355" s="332"/>
      <c r="H355" s="351"/>
    </row>
    <row r="356" s="306" customFormat="1" ht="25.5" customHeight="1" spans="1:8">
      <c r="A356" s="329">
        <v>143</v>
      </c>
      <c r="B356" s="330" t="s">
        <v>680</v>
      </c>
      <c r="C356" s="330" t="s">
        <v>681</v>
      </c>
      <c r="D356" s="330" t="s">
        <v>229</v>
      </c>
      <c r="E356" s="330">
        <v>2</v>
      </c>
      <c r="F356" s="330"/>
      <c r="G356" s="332"/>
      <c r="H356" s="351"/>
    </row>
    <row r="357" s="306" customFormat="1" ht="25.5" customHeight="1" spans="1:8">
      <c r="A357" s="329">
        <v>144</v>
      </c>
      <c r="B357" s="330" t="s">
        <v>682</v>
      </c>
      <c r="C357" s="330" t="s">
        <v>683</v>
      </c>
      <c r="D357" s="330" t="s">
        <v>229</v>
      </c>
      <c r="E357" s="330">
        <v>6</v>
      </c>
      <c r="F357" s="330"/>
      <c r="G357" s="332"/>
      <c r="H357" s="351"/>
    </row>
    <row r="358" s="306" customFormat="1" ht="25.5" customHeight="1" spans="1:8">
      <c r="A358" s="329">
        <v>145</v>
      </c>
      <c r="B358" s="330" t="s">
        <v>684</v>
      </c>
      <c r="C358" s="330" t="s">
        <v>685</v>
      </c>
      <c r="D358" s="330" t="s">
        <v>686</v>
      </c>
      <c r="E358" s="330">
        <v>5</v>
      </c>
      <c r="F358" s="330"/>
      <c r="G358" s="332"/>
      <c r="H358" s="351"/>
    </row>
    <row r="359" s="306" customFormat="1" ht="25.5" customHeight="1" spans="1:8">
      <c r="A359" s="329">
        <v>146</v>
      </c>
      <c r="B359" s="330" t="s">
        <v>687</v>
      </c>
      <c r="C359" s="330" t="s">
        <v>688</v>
      </c>
      <c r="D359" s="330" t="s">
        <v>689</v>
      </c>
      <c r="E359" s="330">
        <v>5</v>
      </c>
      <c r="F359" s="330"/>
      <c r="G359" s="332"/>
      <c r="H359" s="351"/>
    </row>
    <row r="360" s="306" customFormat="1" ht="25.5" customHeight="1" spans="1:8">
      <c r="A360" s="329">
        <v>147</v>
      </c>
      <c r="B360" s="330" t="s">
        <v>690</v>
      </c>
      <c r="C360" s="330" t="s">
        <v>691</v>
      </c>
      <c r="D360" s="330" t="s">
        <v>229</v>
      </c>
      <c r="E360" s="330">
        <v>3</v>
      </c>
      <c r="F360" s="330"/>
      <c r="G360" s="332"/>
      <c r="H360" s="351"/>
    </row>
    <row r="361" s="306" customFormat="1" ht="25.5" customHeight="1" spans="1:8">
      <c r="A361" s="329">
        <v>148</v>
      </c>
      <c r="B361" s="330" t="s">
        <v>692</v>
      </c>
      <c r="C361" s="330" t="s">
        <v>693</v>
      </c>
      <c r="D361" s="330" t="s">
        <v>694</v>
      </c>
      <c r="E361" s="330">
        <v>0.5</v>
      </c>
      <c r="F361" s="330"/>
      <c r="G361" s="332"/>
      <c r="H361" s="351"/>
    </row>
    <row r="362" s="306" customFormat="1" ht="25.5" customHeight="1" spans="1:8">
      <c r="A362" s="329">
        <v>149</v>
      </c>
      <c r="B362" s="330" t="s">
        <v>695</v>
      </c>
      <c r="C362" s="330" t="s">
        <v>591</v>
      </c>
      <c r="D362" s="330" t="s">
        <v>696</v>
      </c>
      <c r="E362" s="330">
        <v>1</v>
      </c>
      <c r="F362" s="330"/>
      <c r="G362" s="332"/>
      <c r="H362" s="351"/>
    </row>
    <row r="363" s="306" customFormat="1" ht="25.5" customHeight="1" spans="1:8">
      <c r="A363" s="329">
        <v>150</v>
      </c>
      <c r="B363" s="330" t="s">
        <v>697</v>
      </c>
      <c r="C363" s="330" t="s">
        <v>698</v>
      </c>
      <c r="D363" s="330" t="s">
        <v>229</v>
      </c>
      <c r="E363" s="330">
        <v>2</v>
      </c>
      <c r="F363" s="330"/>
      <c r="G363" s="332"/>
      <c r="H363" s="351"/>
    </row>
    <row r="364" s="306" customFormat="1" ht="25.5" customHeight="1" spans="1:8">
      <c r="A364" s="329">
        <v>151</v>
      </c>
      <c r="B364" s="330" t="s">
        <v>699</v>
      </c>
      <c r="C364" s="330" t="s">
        <v>700</v>
      </c>
      <c r="D364" s="330" t="s">
        <v>229</v>
      </c>
      <c r="E364" s="330">
        <v>5</v>
      </c>
      <c r="F364" s="330"/>
      <c r="G364" s="332"/>
      <c r="H364" s="351"/>
    </row>
    <row r="365" s="306" customFormat="1" ht="25.5" customHeight="1" spans="1:8">
      <c r="A365" s="329">
        <v>152</v>
      </c>
      <c r="B365" s="330" t="s">
        <v>701</v>
      </c>
      <c r="C365" s="330"/>
      <c r="D365" s="330" t="s">
        <v>702</v>
      </c>
      <c r="E365" s="330">
        <v>1</v>
      </c>
      <c r="F365" s="330"/>
      <c r="G365" s="332"/>
      <c r="H365" s="351"/>
    </row>
    <row r="366" s="306" customFormat="1" ht="25.5" customHeight="1" spans="1:8">
      <c r="A366" s="329">
        <v>153</v>
      </c>
      <c r="B366" s="330" t="s">
        <v>703</v>
      </c>
      <c r="C366" s="330"/>
      <c r="D366" s="330" t="s">
        <v>702</v>
      </c>
      <c r="E366" s="330">
        <v>1</v>
      </c>
      <c r="F366" s="330"/>
      <c r="G366" s="332"/>
      <c r="H366" s="351"/>
    </row>
    <row r="367" s="306" customFormat="1" ht="25.5" customHeight="1" spans="1:8">
      <c r="A367" s="329">
        <v>154</v>
      </c>
      <c r="B367" s="330" t="s">
        <v>704</v>
      </c>
      <c r="C367" s="330" t="s">
        <v>589</v>
      </c>
      <c r="D367" s="330" t="s">
        <v>229</v>
      </c>
      <c r="E367" s="330">
        <v>2</v>
      </c>
      <c r="F367" s="330"/>
      <c r="G367" s="332"/>
      <c r="H367" s="351"/>
    </row>
    <row r="368" s="306" customFormat="1" ht="25.5" customHeight="1" spans="1:8">
      <c r="A368" s="329">
        <v>155</v>
      </c>
      <c r="B368" s="330" t="s">
        <v>705</v>
      </c>
      <c r="C368" s="330" t="s">
        <v>590</v>
      </c>
      <c r="D368" s="330" t="s">
        <v>229</v>
      </c>
      <c r="E368" s="330">
        <v>2</v>
      </c>
      <c r="F368" s="330"/>
      <c r="G368" s="332"/>
      <c r="H368" s="351"/>
    </row>
    <row r="369" s="306" customFormat="1" ht="25.5" customHeight="1" spans="1:8">
      <c r="A369" s="329">
        <v>156</v>
      </c>
      <c r="B369" s="330" t="s">
        <v>706</v>
      </c>
      <c r="C369" s="330" t="s">
        <v>707</v>
      </c>
      <c r="D369" s="330" t="s">
        <v>229</v>
      </c>
      <c r="E369" s="330">
        <v>5</v>
      </c>
      <c r="F369" s="330"/>
      <c r="G369" s="332"/>
      <c r="H369" s="351"/>
    </row>
    <row r="370" s="306" customFormat="1" ht="25.5" customHeight="1" spans="1:8">
      <c r="A370" s="329">
        <v>157</v>
      </c>
      <c r="B370" s="330" t="s">
        <v>706</v>
      </c>
      <c r="C370" s="330" t="s">
        <v>708</v>
      </c>
      <c r="D370" s="330" t="s">
        <v>229</v>
      </c>
      <c r="E370" s="330">
        <v>10</v>
      </c>
      <c r="F370" s="330"/>
      <c r="G370" s="332"/>
      <c r="H370" s="351"/>
    </row>
    <row r="371" s="306" customFormat="1" ht="25.5" customHeight="1" spans="1:8">
      <c r="A371" s="329">
        <v>158</v>
      </c>
      <c r="B371" s="330" t="s">
        <v>706</v>
      </c>
      <c r="C371" s="330" t="s">
        <v>709</v>
      </c>
      <c r="D371" s="330" t="s">
        <v>229</v>
      </c>
      <c r="E371" s="330">
        <v>10</v>
      </c>
      <c r="F371" s="330"/>
      <c r="G371" s="332"/>
      <c r="H371" s="351"/>
    </row>
    <row r="372" s="306" customFormat="1" ht="25.5" customHeight="1" spans="1:8">
      <c r="A372" s="329">
        <v>159</v>
      </c>
      <c r="B372" s="330" t="s">
        <v>710</v>
      </c>
      <c r="C372" s="330" t="s">
        <v>711</v>
      </c>
      <c r="D372" s="330" t="s">
        <v>712</v>
      </c>
      <c r="E372" s="330">
        <v>1</v>
      </c>
      <c r="F372" s="330"/>
      <c r="G372" s="332"/>
      <c r="H372" s="351"/>
    </row>
    <row r="373" s="306" customFormat="1" ht="25.5" customHeight="1" spans="1:8">
      <c r="A373" s="329">
        <v>160</v>
      </c>
      <c r="B373" s="330" t="s">
        <v>713</v>
      </c>
      <c r="C373" s="330"/>
      <c r="D373" s="330" t="s">
        <v>229</v>
      </c>
      <c r="E373" s="330">
        <v>1</v>
      </c>
      <c r="F373" s="330"/>
      <c r="G373" s="332"/>
      <c r="H373" s="351"/>
    </row>
    <row r="374" s="306" customFormat="1" ht="25.5" customHeight="1" spans="1:8">
      <c r="A374" s="329">
        <v>161</v>
      </c>
      <c r="B374" s="330" t="s">
        <v>714</v>
      </c>
      <c r="C374" s="330"/>
      <c r="D374" s="330" t="s">
        <v>715</v>
      </c>
      <c r="E374" s="330">
        <v>1</v>
      </c>
      <c r="F374" s="330"/>
      <c r="G374" s="332"/>
      <c r="H374" s="351"/>
    </row>
    <row r="375" s="306" customFormat="1" ht="25.5" customHeight="1" spans="1:8">
      <c r="A375" s="329">
        <v>162</v>
      </c>
      <c r="B375" s="330" t="s">
        <v>716</v>
      </c>
      <c r="C375" s="330" t="s">
        <v>717</v>
      </c>
      <c r="D375" s="330" t="s">
        <v>702</v>
      </c>
      <c r="E375" s="330">
        <v>10</v>
      </c>
      <c r="F375" s="330"/>
      <c r="G375" s="332"/>
      <c r="H375" s="351"/>
    </row>
    <row r="376" s="306" customFormat="1" ht="25.5" customHeight="1" spans="1:8">
      <c r="A376" s="329">
        <v>163</v>
      </c>
      <c r="B376" s="330" t="s">
        <v>718</v>
      </c>
      <c r="C376" s="330" t="s">
        <v>717</v>
      </c>
      <c r="D376" s="330" t="s">
        <v>702</v>
      </c>
      <c r="E376" s="330">
        <v>10</v>
      </c>
      <c r="F376" s="330"/>
      <c r="G376" s="332"/>
      <c r="H376" s="351"/>
    </row>
    <row r="377" s="306" customFormat="1" ht="25.5" customHeight="1" spans="1:8">
      <c r="A377" s="329">
        <v>164</v>
      </c>
      <c r="B377" s="330" t="s">
        <v>719</v>
      </c>
      <c r="C377" s="330"/>
      <c r="D377" s="330" t="s">
        <v>720</v>
      </c>
      <c r="E377" s="330">
        <v>20</v>
      </c>
      <c r="F377" s="330"/>
      <c r="G377" s="332"/>
      <c r="H377" s="351"/>
    </row>
    <row r="378" s="306" customFormat="1" ht="25.5" customHeight="1" spans="1:8">
      <c r="A378" s="329">
        <v>165</v>
      </c>
      <c r="B378" s="330" t="s">
        <v>721</v>
      </c>
      <c r="C378" s="330"/>
      <c r="D378" s="330" t="s">
        <v>722</v>
      </c>
      <c r="E378" s="330">
        <v>6</v>
      </c>
      <c r="F378" s="330"/>
      <c r="G378" s="332"/>
      <c r="H378" s="351"/>
    </row>
    <row r="379" s="306" customFormat="1" ht="25.5" customHeight="1" spans="1:8">
      <c r="A379" s="329">
        <v>166</v>
      </c>
      <c r="B379" s="330" t="s">
        <v>723</v>
      </c>
      <c r="C379" s="330"/>
      <c r="D379" s="330" t="s">
        <v>722</v>
      </c>
      <c r="E379" s="330">
        <v>50</v>
      </c>
      <c r="F379" s="330"/>
      <c r="G379" s="332"/>
      <c r="H379" s="351"/>
    </row>
    <row r="380" s="306" customFormat="1" ht="25.5" customHeight="1" spans="1:8">
      <c r="A380" s="329">
        <v>167</v>
      </c>
      <c r="B380" s="330" t="s">
        <v>724</v>
      </c>
      <c r="C380" s="330"/>
      <c r="D380" s="330" t="s">
        <v>712</v>
      </c>
      <c r="E380" s="330">
        <v>2</v>
      </c>
      <c r="F380" s="330"/>
      <c r="G380" s="332"/>
      <c r="H380" s="351"/>
    </row>
    <row r="381" s="306" customFormat="1" ht="25.5" customHeight="1" spans="1:8">
      <c r="A381" s="329">
        <v>168</v>
      </c>
      <c r="B381" s="330" t="s">
        <v>725</v>
      </c>
      <c r="C381" s="330"/>
      <c r="D381" s="330" t="s">
        <v>722</v>
      </c>
      <c r="E381" s="330">
        <v>5</v>
      </c>
      <c r="F381" s="330"/>
      <c r="G381" s="332"/>
      <c r="H381" s="351"/>
    </row>
    <row r="382" s="306" customFormat="1" ht="25.5" customHeight="1" spans="1:8">
      <c r="A382" s="329">
        <v>169</v>
      </c>
      <c r="B382" s="330" t="s">
        <v>726</v>
      </c>
      <c r="C382" s="330"/>
      <c r="D382" s="330" t="s">
        <v>722</v>
      </c>
      <c r="E382" s="330">
        <v>5</v>
      </c>
      <c r="F382" s="330"/>
      <c r="G382" s="332"/>
      <c r="H382" s="351"/>
    </row>
    <row r="383" s="306" customFormat="1" ht="25.5" customHeight="1" spans="1:8">
      <c r="A383" s="329">
        <v>170</v>
      </c>
      <c r="B383" s="330" t="s">
        <v>727</v>
      </c>
      <c r="C383" s="330"/>
      <c r="D383" s="330" t="s">
        <v>229</v>
      </c>
      <c r="E383" s="330">
        <v>10</v>
      </c>
      <c r="F383" s="330"/>
      <c r="G383" s="332"/>
      <c r="H383" s="351"/>
    </row>
    <row r="384" s="306" customFormat="1" ht="25.5" customHeight="1" spans="1:8">
      <c r="A384" s="329">
        <v>171</v>
      </c>
      <c r="B384" s="330" t="s">
        <v>728</v>
      </c>
      <c r="C384" s="330"/>
      <c r="D384" s="330" t="s">
        <v>729</v>
      </c>
      <c r="E384" s="330">
        <v>0.5</v>
      </c>
      <c r="F384" s="330"/>
      <c r="G384" s="332"/>
      <c r="H384" s="351"/>
    </row>
    <row r="385" s="306" customFormat="1" ht="25.5" customHeight="1" spans="1:8">
      <c r="A385" s="329">
        <v>172</v>
      </c>
      <c r="B385" s="330" t="s">
        <v>730</v>
      </c>
      <c r="C385" s="330"/>
      <c r="D385" s="330" t="s">
        <v>229</v>
      </c>
      <c r="E385" s="330">
        <v>3</v>
      </c>
      <c r="F385" s="330"/>
      <c r="G385" s="332"/>
      <c r="H385" s="351"/>
    </row>
    <row r="386" s="306" customFormat="1" ht="25.5" customHeight="1" spans="1:8">
      <c r="A386" s="329">
        <v>173</v>
      </c>
      <c r="B386" s="330" t="s">
        <v>731</v>
      </c>
      <c r="C386" s="330" t="s">
        <v>732</v>
      </c>
      <c r="D386" s="330" t="s">
        <v>229</v>
      </c>
      <c r="E386" s="330">
        <v>20</v>
      </c>
      <c r="F386" s="330"/>
      <c r="G386" s="332"/>
      <c r="H386" s="351"/>
    </row>
    <row r="387" s="306" customFormat="1" ht="25.5" customHeight="1" spans="1:8">
      <c r="A387" s="329">
        <v>174</v>
      </c>
      <c r="B387" s="330" t="s">
        <v>733</v>
      </c>
      <c r="C387" s="330" t="s">
        <v>734</v>
      </c>
      <c r="D387" s="330" t="s">
        <v>229</v>
      </c>
      <c r="E387" s="330">
        <v>20</v>
      </c>
      <c r="F387" s="330"/>
      <c r="G387" s="332"/>
      <c r="H387" s="351"/>
    </row>
    <row r="388" s="306" customFormat="1" ht="25.5" customHeight="1" spans="1:8">
      <c r="A388" s="329">
        <v>175</v>
      </c>
      <c r="B388" s="330" t="s">
        <v>735</v>
      </c>
      <c r="C388" s="330" t="s">
        <v>736</v>
      </c>
      <c r="D388" s="330" t="s">
        <v>229</v>
      </c>
      <c r="E388" s="330" t="s">
        <v>737</v>
      </c>
      <c r="F388" s="330"/>
      <c r="G388" s="332"/>
      <c r="H388" s="351"/>
    </row>
    <row r="389" s="306" customFormat="1" ht="25.5" customHeight="1" spans="1:8">
      <c r="A389" s="329">
        <v>176</v>
      </c>
      <c r="B389" s="330" t="s">
        <v>738</v>
      </c>
      <c r="C389" s="330"/>
      <c r="D389" s="330" t="s">
        <v>229</v>
      </c>
      <c r="E389" s="330">
        <v>1</v>
      </c>
      <c r="F389" s="330"/>
      <c r="G389" s="332"/>
      <c r="H389" s="351"/>
    </row>
    <row r="390" s="306" customFormat="1" ht="25.5" customHeight="1" spans="1:8">
      <c r="A390" s="329">
        <v>177</v>
      </c>
      <c r="B390" s="330" t="s">
        <v>739</v>
      </c>
      <c r="C390" s="330"/>
      <c r="D390" s="330" t="s">
        <v>229</v>
      </c>
      <c r="E390" s="330">
        <v>2</v>
      </c>
      <c r="F390" s="330"/>
      <c r="G390" s="332"/>
      <c r="H390" s="351"/>
    </row>
    <row r="391" s="306" customFormat="1" ht="25.5" customHeight="1" spans="1:8">
      <c r="A391" s="329">
        <v>178</v>
      </c>
      <c r="B391" s="330" t="s">
        <v>740</v>
      </c>
      <c r="C391" s="330"/>
      <c r="D391" s="330" t="s">
        <v>229</v>
      </c>
      <c r="E391" s="330">
        <v>2</v>
      </c>
      <c r="F391" s="330"/>
      <c r="G391" s="332"/>
      <c r="H391" s="351"/>
    </row>
    <row r="392" s="306" customFormat="1" ht="25.5" customHeight="1" spans="1:8">
      <c r="A392" s="329">
        <v>179</v>
      </c>
      <c r="B392" s="330" t="s">
        <v>741</v>
      </c>
      <c r="C392" s="330" t="s">
        <v>742</v>
      </c>
      <c r="D392" s="330" t="s">
        <v>229</v>
      </c>
      <c r="E392" s="330">
        <v>2</v>
      </c>
      <c r="F392" s="330"/>
      <c r="G392" s="332"/>
      <c r="H392" s="351"/>
    </row>
    <row r="393" s="306" customFormat="1" ht="25.5" customHeight="1" spans="1:8">
      <c r="A393" s="336" t="s">
        <v>400</v>
      </c>
      <c r="B393" s="337"/>
      <c r="C393" s="337"/>
      <c r="D393" s="337"/>
      <c r="E393" s="337"/>
      <c r="F393" s="338"/>
      <c r="G393" s="338">
        <f>SUM(G214:G392)</f>
        <v>14.73523</v>
      </c>
      <c r="H393" s="339"/>
    </row>
    <row r="394" s="306" customFormat="1" ht="25.5" customHeight="1" spans="1:8">
      <c r="A394" s="343"/>
      <c r="B394" s="343"/>
      <c r="C394" s="343"/>
      <c r="D394" s="343"/>
      <c r="E394" s="343"/>
      <c r="F394" s="344"/>
      <c r="G394" s="344"/>
      <c r="H394" s="343"/>
    </row>
    <row r="395" ht="26.25" customHeight="1" spans="1:8">
      <c r="A395" s="322" t="s">
        <v>148</v>
      </c>
      <c r="B395" s="323"/>
      <c r="C395" s="323"/>
      <c r="D395" s="323"/>
      <c r="E395" s="323"/>
      <c r="F395" s="323"/>
      <c r="G395" s="323"/>
      <c r="H395" s="323"/>
    </row>
    <row r="396" ht="26.25" customHeight="1" spans="1:8">
      <c r="A396" s="324" t="s">
        <v>150</v>
      </c>
      <c r="B396" s="325" t="s">
        <v>151</v>
      </c>
      <c r="C396" s="326" t="s">
        <v>152</v>
      </c>
      <c r="D396" s="326" t="s">
        <v>153</v>
      </c>
      <c r="E396" s="326" t="s">
        <v>154</v>
      </c>
      <c r="F396" s="327" t="s">
        <v>155</v>
      </c>
      <c r="G396" s="327" t="s">
        <v>156</v>
      </c>
      <c r="H396" s="328" t="s">
        <v>157</v>
      </c>
    </row>
    <row r="397" s="305" customFormat="1" ht="27.75" customHeight="1" spans="1:8">
      <c r="A397" s="329">
        <v>1</v>
      </c>
      <c r="B397" s="330" t="s">
        <v>743</v>
      </c>
      <c r="C397" s="330"/>
      <c r="D397" s="330" t="s">
        <v>744</v>
      </c>
      <c r="E397" s="330">
        <v>1</v>
      </c>
      <c r="F397" s="332">
        <v>15</v>
      </c>
      <c r="G397" s="332">
        <f>E397*F397</f>
        <v>15</v>
      </c>
      <c r="H397" s="331"/>
    </row>
    <row r="398" ht="21" customHeight="1" spans="1:8">
      <c r="A398" s="329">
        <v>2</v>
      </c>
      <c r="B398" s="330" t="s">
        <v>745</v>
      </c>
      <c r="C398" s="330" t="s">
        <v>746</v>
      </c>
      <c r="D398" s="330" t="s">
        <v>744</v>
      </c>
      <c r="E398" s="330">
        <v>2</v>
      </c>
      <c r="F398" s="332">
        <v>16</v>
      </c>
      <c r="G398" s="332">
        <f>E398*F398</f>
        <v>32</v>
      </c>
      <c r="H398" s="331"/>
    </row>
    <row r="399" ht="21" customHeight="1" spans="1:8">
      <c r="A399" s="329">
        <v>3</v>
      </c>
      <c r="B399" s="330" t="s">
        <v>747</v>
      </c>
      <c r="C399" s="330"/>
      <c r="D399" s="330" t="s">
        <v>744</v>
      </c>
      <c r="E399" s="330">
        <v>1</v>
      </c>
      <c r="F399" s="332">
        <v>8</v>
      </c>
      <c r="G399" s="332">
        <f>E399*F399</f>
        <v>8</v>
      </c>
      <c r="H399" s="331"/>
    </row>
    <row r="400" ht="21" customHeight="1" spans="1:8">
      <c r="A400" s="352" t="s">
        <v>400</v>
      </c>
      <c r="B400" s="353"/>
      <c r="C400" s="354"/>
      <c r="D400" s="337"/>
      <c r="E400" s="337"/>
      <c r="F400" s="338"/>
      <c r="G400" s="338">
        <f>SUM(G397:G399)</f>
        <v>55</v>
      </c>
      <c r="H400" s="339"/>
    </row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s="305" customFormat="1" ht="30" customHeight="1" spans="1:8">
      <c r="A422" s="307"/>
      <c r="B422" s="307"/>
      <c r="C422" s="307"/>
      <c r="D422" s="307"/>
      <c r="E422" s="307"/>
      <c r="F422" s="308"/>
      <c r="G422" s="308"/>
      <c r="H422" s="309"/>
    </row>
    <row r="423" ht="21" customHeight="1"/>
    <row r="424" ht="21" customHeight="1"/>
    <row r="425" ht="21" customHeight="1"/>
    <row r="426" ht="21" customHeight="1"/>
    <row r="428" ht="27.75" customHeight="1"/>
  </sheetData>
  <mergeCells count="30">
    <mergeCell ref="A1:H1"/>
    <mergeCell ref="A10:B10"/>
    <mergeCell ref="A13:H13"/>
    <mergeCell ref="A15:C15"/>
    <mergeCell ref="A25:C25"/>
    <mergeCell ref="A41:C41"/>
    <mergeCell ref="A52:C52"/>
    <mergeCell ref="A60:C60"/>
    <mergeCell ref="A66:C66"/>
    <mergeCell ref="A77:C77"/>
    <mergeCell ref="A85:C85"/>
    <mergeCell ref="A89:C89"/>
    <mergeCell ref="A116:C116"/>
    <mergeCell ref="A124:C124"/>
    <mergeCell ref="A136:C136"/>
    <mergeCell ref="A138:H138"/>
    <mergeCell ref="A157:C157"/>
    <mergeCell ref="A159:H159"/>
    <mergeCell ref="A174:C174"/>
    <mergeCell ref="A183:C183"/>
    <mergeCell ref="A185:H185"/>
    <mergeCell ref="A187:C187"/>
    <mergeCell ref="A200:C200"/>
    <mergeCell ref="A210:C210"/>
    <mergeCell ref="A212:H212"/>
    <mergeCell ref="A393:C393"/>
    <mergeCell ref="A395:H395"/>
    <mergeCell ref="A400:C400"/>
    <mergeCell ref="F249:F392"/>
    <mergeCell ref="G249:G392"/>
  </mergeCells>
  <pageMargins left="0.75" right="0.75" top="1" bottom="1" header="0.510416666666667" footer="0.510416666666667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416"/>
  <sheetViews>
    <sheetView showZeros="0" workbookViewId="0">
      <pane xSplit="3" ySplit="4" topLeftCell="D358" activePane="bottomRight" state="frozen"/>
      <selection/>
      <selection pane="topRight"/>
      <selection pane="bottomLeft"/>
      <selection pane="bottomRight" activeCell="H349" sqref="H349:H354"/>
    </sheetView>
  </sheetViews>
  <sheetFormatPr defaultColWidth="9" defaultRowHeight="18.75" customHeight="1"/>
  <cols>
    <col min="1" max="1" width="1" style="16" customWidth="1"/>
    <col min="2" max="2" width="6.375" style="14" customWidth="1"/>
    <col min="3" max="3" width="29.5" style="17" customWidth="1"/>
    <col min="4" max="4" width="9.625" style="16" customWidth="1"/>
    <col min="5" max="5" width="9.75" style="16" customWidth="1"/>
    <col min="6" max="6" width="10.125" style="16" customWidth="1"/>
    <col min="7" max="7" width="9" style="15"/>
    <col min="8" max="8" width="10.5" style="16" customWidth="1"/>
    <col min="9" max="9" width="8.75" style="16" customWidth="1"/>
    <col min="10" max="10" width="8.625" style="15" customWidth="1"/>
    <col min="11" max="11" width="8.375" style="16" customWidth="1"/>
    <col min="12" max="12" width="10.5" style="16" customWidth="1"/>
    <col min="13" max="13" width="4.625" style="16" customWidth="1"/>
    <col min="14" max="17" width="9.75" style="16" customWidth="1"/>
    <col min="18" max="18" width="10" style="16" customWidth="1"/>
    <col min="19" max="19" width="9" style="16"/>
    <col min="20" max="20" width="10.25" style="16" customWidth="1"/>
    <col min="21" max="16384" width="9" style="16"/>
  </cols>
  <sheetData>
    <row r="1" ht="27.95" customHeight="1" spans="2:12">
      <c r="B1" s="18" t="s">
        <v>748</v>
      </c>
      <c r="C1" s="19"/>
      <c r="D1" s="20"/>
      <c r="E1" s="20"/>
      <c r="F1" s="20"/>
      <c r="G1" s="20"/>
      <c r="H1" s="20"/>
      <c r="I1" s="20"/>
      <c r="J1" s="20"/>
      <c r="K1" s="20"/>
      <c r="L1" s="59"/>
    </row>
    <row r="2" ht="21" customHeight="1" spans="2:12">
      <c r="B2" s="21" t="s">
        <v>2</v>
      </c>
      <c r="C2" s="22" t="s">
        <v>3</v>
      </c>
      <c r="D2" s="23" t="s">
        <v>749</v>
      </c>
      <c r="E2" s="24"/>
      <c r="F2" s="24"/>
      <c r="G2" s="24"/>
      <c r="H2" s="24"/>
      <c r="I2" s="23" t="s">
        <v>5</v>
      </c>
      <c r="J2" s="23" t="s">
        <v>6</v>
      </c>
      <c r="K2" s="60" t="s">
        <v>7</v>
      </c>
      <c r="L2" s="61" t="s">
        <v>8</v>
      </c>
    </row>
    <row r="3" ht="21" customHeight="1" spans="2:12">
      <c r="B3" s="25"/>
      <c r="C3" s="26"/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30"/>
      <c r="J3" s="30"/>
      <c r="K3" s="62"/>
      <c r="L3" s="63"/>
    </row>
    <row r="4" ht="21" customHeight="1" spans="2:13">
      <c r="B4" s="28" t="s">
        <v>14</v>
      </c>
      <c r="C4" s="29" t="s">
        <v>15</v>
      </c>
      <c r="D4" s="30">
        <f>SUM(D115:D371)</f>
        <v>113753.688997744</v>
      </c>
      <c r="E4" s="30">
        <f>SUM(E115:E371)</f>
        <v>3880.37</v>
      </c>
      <c r="F4" s="30">
        <f>SUM(F115:F371)</f>
        <v>728.56</v>
      </c>
      <c r="G4" s="30">
        <f>SUM(G115:G371)</f>
        <v>27.95</v>
      </c>
      <c r="H4" s="30">
        <f>SUM(D4:G4)</f>
        <v>118390.568997744</v>
      </c>
      <c r="I4" s="64"/>
      <c r="J4" s="65"/>
      <c r="K4" s="186"/>
      <c r="L4" s="63"/>
      <c r="M4" s="16">
        <f>H4*1.27</f>
        <v>150356.022627135</v>
      </c>
    </row>
    <row r="5" ht="21" customHeight="1" spans="2:14">
      <c r="B5" s="41" t="s">
        <v>750</v>
      </c>
      <c r="C5" s="66" t="s">
        <v>751</v>
      </c>
      <c r="D5" s="33"/>
      <c r="E5" s="33"/>
      <c r="F5" s="33"/>
      <c r="G5" s="33"/>
      <c r="H5" s="33">
        <f>SUM(H6:H61)</f>
        <v>18688.23614</v>
      </c>
      <c r="I5" s="115"/>
      <c r="J5" s="115"/>
      <c r="K5" s="187"/>
      <c r="L5" s="188"/>
      <c r="M5" s="87">
        <v>11844.48914</v>
      </c>
      <c r="N5" s="189">
        <f>H5-M5</f>
        <v>6843.747</v>
      </c>
    </row>
    <row r="6" ht="21" customHeight="1" spans="2:12">
      <c r="B6" s="34" t="s">
        <v>18</v>
      </c>
      <c r="C6" s="175" t="s">
        <v>752</v>
      </c>
      <c r="D6" s="36"/>
      <c r="E6" s="36"/>
      <c r="F6" s="36"/>
      <c r="G6" s="37"/>
      <c r="H6" s="37"/>
      <c r="I6" s="69"/>
      <c r="J6" s="36"/>
      <c r="K6" s="190"/>
      <c r="L6" s="68"/>
    </row>
    <row r="7" ht="21" customHeight="1" spans="2:12">
      <c r="B7" s="34"/>
      <c r="C7" s="69" t="s">
        <v>753</v>
      </c>
      <c r="D7" s="36">
        <f t="shared" ref="D7:D8" si="0">H7</f>
        <v>62.5282</v>
      </c>
      <c r="E7" s="36"/>
      <c r="F7" s="36"/>
      <c r="G7" s="37"/>
      <c r="H7" s="37">
        <f t="shared" ref="H7:H8" si="1">(J7*K7)/10000</f>
        <v>62.5282</v>
      </c>
      <c r="I7" s="69" t="s">
        <v>29</v>
      </c>
      <c r="J7" s="69">
        <v>757</v>
      </c>
      <c r="K7" s="78">
        <v>826</v>
      </c>
      <c r="L7" s="68"/>
    </row>
    <row r="8" ht="21" customHeight="1" spans="2:12">
      <c r="B8" s="34"/>
      <c r="C8" s="72" t="s">
        <v>754</v>
      </c>
      <c r="D8" s="44">
        <f t="shared" si="0"/>
        <v>480</v>
      </c>
      <c r="E8" s="44"/>
      <c r="F8" s="44"/>
      <c r="G8" s="45"/>
      <c r="H8" s="45">
        <f t="shared" si="1"/>
        <v>480</v>
      </c>
      <c r="I8" s="72" t="s">
        <v>755</v>
      </c>
      <c r="J8" s="72">
        <v>8</v>
      </c>
      <c r="K8" s="191">
        <v>600000</v>
      </c>
      <c r="L8" s="68"/>
    </row>
    <row r="9" ht="21" customHeight="1" spans="2:12">
      <c r="B9" s="41" t="s">
        <v>40</v>
      </c>
      <c r="C9" s="66" t="s">
        <v>756</v>
      </c>
      <c r="D9" s="39"/>
      <c r="E9" s="39"/>
      <c r="F9" s="39"/>
      <c r="G9" s="40"/>
      <c r="H9" s="40"/>
      <c r="I9" s="64"/>
      <c r="J9" s="64"/>
      <c r="K9" s="192"/>
      <c r="L9" s="188"/>
    </row>
    <row r="10" ht="21" customHeight="1" spans="2:12">
      <c r="B10" s="41"/>
      <c r="C10" s="69" t="s">
        <v>757</v>
      </c>
      <c r="D10" s="36">
        <f>J10*K10/10000</f>
        <v>5120</v>
      </c>
      <c r="E10" s="36"/>
      <c r="F10" s="36"/>
      <c r="G10" s="37"/>
      <c r="H10" s="37">
        <f>D10</f>
        <v>5120</v>
      </c>
      <c r="I10" s="69" t="s">
        <v>29</v>
      </c>
      <c r="J10" s="69">
        <f>6400*2</f>
        <v>12800</v>
      </c>
      <c r="K10" s="78">
        <v>4000</v>
      </c>
      <c r="L10" s="68" t="s">
        <v>758</v>
      </c>
    </row>
    <row r="11" ht="21" customHeight="1" spans="2:12">
      <c r="B11" s="41"/>
      <c r="C11" s="69" t="s">
        <v>759</v>
      </c>
      <c r="D11" s="36">
        <f>J11*K11/10000</f>
        <v>702</v>
      </c>
      <c r="E11" s="36"/>
      <c r="F11" s="36"/>
      <c r="G11" s="37"/>
      <c r="H11" s="37">
        <f>D11</f>
        <v>702</v>
      </c>
      <c r="I11" s="69" t="s">
        <v>760</v>
      </c>
      <c r="J11" s="69">
        <f>7800*15*1.2</f>
        <v>140400</v>
      </c>
      <c r="K11" s="78">
        <v>50</v>
      </c>
      <c r="L11" s="68"/>
    </row>
    <row r="12" ht="21" customHeight="1" spans="2:12">
      <c r="B12" s="41"/>
      <c r="C12" s="176" t="s">
        <v>761</v>
      </c>
      <c r="D12" s="39">
        <v>22.77794</v>
      </c>
      <c r="E12" s="39"/>
      <c r="F12" s="39"/>
      <c r="G12" s="40"/>
      <c r="H12" s="40">
        <v>22.77794</v>
      </c>
      <c r="I12" s="64" t="s">
        <v>762</v>
      </c>
      <c r="J12" s="64">
        <v>2</v>
      </c>
      <c r="K12" s="192">
        <v>113889.7</v>
      </c>
      <c r="L12" s="68"/>
    </row>
    <row r="13" ht="21" customHeight="1" spans="2:12">
      <c r="B13" s="41"/>
      <c r="C13" s="176" t="s">
        <v>763</v>
      </c>
      <c r="D13" s="39">
        <v>35</v>
      </c>
      <c r="E13" s="39"/>
      <c r="F13" s="39"/>
      <c r="G13" s="40"/>
      <c r="H13" s="40">
        <v>35</v>
      </c>
      <c r="I13" s="64" t="s">
        <v>762</v>
      </c>
      <c r="J13" s="64">
        <v>1</v>
      </c>
      <c r="K13" s="192">
        <v>350000</v>
      </c>
      <c r="L13" s="68"/>
    </row>
    <row r="14" ht="21" customHeight="1" spans="2:12">
      <c r="B14" s="66" t="s">
        <v>45</v>
      </c>
      <c r="C14" s="66" t="s">
        <v>764</v>
      </c>
      <c r="D14" s="177"/>
      <c r="E14" s="177"/>
      <c r="F14" s="177"/>
      <c r="G14" s="177"/>
      <c r="H14" s="177"/>
      <c r="I14" s="193"/>
      <c r="J14" s="177"/>
      <c r="K14" s="194"/>
      <c r="L14" s="195"/>
    </row>
    <row r="15" ht="21" customHeight="1" spans="2:12">
      <c r="B15" s="178" t="s">
        <v>765</v>
      </c>
      <c r="C15" s="179" t="s">
        <v>766</v>
      </c>
      <c r="D15" s="177">
        <v>285.6</v>
      </c>
      <c r="E15" s="177">
        <v>16.8</v>
      </c>
      <c r="F15" s="177">
        <v>16.8</v>
      </c>
      <c r="G15" s="177">
        <v>16.8</v>
      </c>
      <c r="H15" s="177">
        <f>D15+E15+F15+G15</f>
        <v>336</v>
      </c>
      <c r="I15" s="180" t="s">
        <v>767</v>
      </c>
      <c r="J15" s="177">
        <v>42000</v>
      </c>
      <c r="K15" s="194">
        <v>80</v>
      </c>
      <c r="L15" s="195"/>
    </row>
    <row r="16" ht="21" customHeight="1" spans="2:12">
      <c r="B16" s="178" t="s">
        <v>768</v>
      </c>
      <c r="C16" s="179" t="s">
        <v>769</v>
      </c>
      <c r="D16" s="177">
        <f>H16*0.6</f>
        <v>415.8</v>
      </c>
      <c r="E16" s="177">
        <f>H16*0.2</f>
        <v>138.6</v>
      </c>
      <c r="F16" s="177">
        <f>H16*0.15</f>
        <v>103.95</v>
      </c>
      <c r="G16" s="177">
        <f>H16*0.05</f>
        <v>34.65</v>
      </c>
      <c r="H16" s="177">
        <f t="shared" ref="H16:H22" si="2">J16*K16*0.0001</f>
        <v>693</v>
      </c>
      <c r="I16" s="180" t="s">
        <v>760</v>
      </c>
      <c r="J16" s="196">
        <v>57750</v>
      </c>
      <c r="K16" s="194">
        <v>120</v>
      </c>
      <c r="L16" s="195"/>
    </row>
    <row r="17" ht="21" customHeight="1" spans="2:12">
      <c r="B17" s="66" t="s">
        <v>47</v>
      </c>
      <c r="C17" s="66" t="s">
        <v>770</v>
      </c>
      <c r="D17" s="177">
        <v>0</v>
      </c>
      <c r="E17" s="177"/>
      <c r="F17" s="177"/>
      <c r="G17" s="177"/>
      <c r="H17" s="177"/>
      <c r="I17" s="193"/>
      <c r="J17" s="177"/>
      <c r="K17" s="194"/>
      <c r="L17" s="197"/>
    </row>
    <row r="18" ht="21" customHeight="1" spans="2:12">
      <c r="B18" s="178" t="s">
        <v>771</v>
      </c>
      <c r="C18" s="180" t="s">
        <v>772</v>
      </c>
      <c r="D18" s="177">
        <v>126</v>
      </c>
      <c r="E18" s="177">
        <f>D18*0.05</f>
        <v>6.3</v>
      </c>
      <c r="F18" s="177">
        <f t="shared" ref="F18:G21" si="3">E18</f>
        <v>6.3</v>
      </c>
      <c r="G18" s="177">
        <f>F18*0.5</f>
        <v>3.15</v>
      </c>
      <c r="H18" s="177">
        <f>D18+E18+F18+G18</f>
        <v>141.75</v>
      </c>
      <c r="I18" s="180" t="s">
        <v>760</v>
      </c>
      <c r="J18" s="196">
        <v>283.5</v>
      </c>
      <c r="K18" s="194">
        <v>5000</v>
      </c>
      <c r="L18" s="197"/>
    </row>
    <row r="19" ht="21" customHeight="1" spans="2:12">
      <c r="B19" s="178" t="s">
        <v>773</v>
      </c>
      <c r="C19" s="180" t="s">
        <v>774</v>
      </c>
      <c r="D19" s="177">
        <f t="shared" ref="D19:D21" si="4">H19*0.85</f>
        <v>153</v>
      </c>
      <c r="E19" s="177">
        <f t="shared" ref="E19:E21" si="5">H19*0.05</f>
        <v>9</v>
      </c>
      <c r="F19" s="177">
        <f t="shared" si="3"/>
        <v>9</v>
      </c>
      <c r="G19" s="177">
        <f t="shared" si="3"/>
        <v>9</v>
      </c>
      <c r="H19" s="177">
        <f t="shared" si="2"/>
        <v>180</v>
      </c>
      <c r="I19" s="180" t="s">
        <v>767</v>
      </c>
      <c r="J19" s="196">
        <v>10000</v>
      </c>
      <c r="K19" s="194">
        <v>180</v>
      </c>
      <c r="L19" s="197"/>
    </row>
    <row r="20" ht="21" customHeight="1" spans="2:12">
      <c r="B20" s="178" t="s">
        <v>775</v>
      </c>
      <c r="C20" s="180" t="s">
        <v>776</v>
      </c>
      <c r="D20" s="177">
        <f t="shared" si="4"/>
        <v>62.033</v>
      </c>
      <c r="E20" s="177">
        <f t="shared" si="5"/>
        <v>3.649</v>
      </c>
      <c r="F20" s="177">
        <f t="shared" si="3"/>
        <v>3.649</v>
      </c>
      <c r="G20" s="177">
        <f t="shared" si="3"/>
        <v>3.649</v>
      </c>
      <c r="H20" s="177">
        <f t="shared" si="2"/>
        <v>72.98</v>
      </c>
      <c r="I20" s="180" t="s">
        <v>767</v>
      </c>
      <c r="J20" s="196">
        <v>8200</v>
      </c>
      <c r="K20" s="194">
        <v>89</v>
      </c>
      <c r="L20" s="197"/>
    </row>
    <row r="21" ht="21" customHeight="1" spans="2:12">
      <c r="B21" s="178" t="s">
        <v>777</v>
      </c>
      <c r="C21" s="180" t="s">
        <v>778</v>
      </c>
      <c r="D21" s="177">
        <f t="shared" si="4"/>
        <v>12.24</v>
      </c>
      <c r="E21" s="177">
        <f t="shared" si="5"/>
        <v>0.72</v>
      </c>
      <c r="F21" s="177">
        <f t="shared" si="3"/>
        <v>0.72</v>
      </c>
      <c r="G21" s="177">
        <f t="shared" si="3"/>
        <v>0.72</v>
      </c>
      <c r="H21" s="177">
        <f t="shared" si="2"/>
        <v>14.4</v>
      </c>
      <c r="I21" s="180" t="s">
        <v>779</v>
      </c>
      <c r="J21" s="196">
        <v>18</v>
      </c>
      <c r="K21" s="194">
        <v>8000</v>
      </c>
      <c r="L21" s="197"/>
    </row>
    <row r="22" ht="21" customHeight="1" spans="2:12">
      <c r="B22" s="181" t="s">
        <v>780</v>
      </c>
      <c r="C22" s="182" t="s">
        <v>781</v>
      </c>
      <c r="D22" s="183">
        <v>2046</v>
      </c>
      <c r="E22" s="183"/>
      <c r="F22" s="183"/>
      <c r="G22" s="183"/>
      <c r="H22" s="183">
        <f t="shared" si="2"/>
        <v>2046</v>
      </c>
      <c r="I22" s="182" t="s">
        <v>23</v>
      </c>
      <c r="J22" s="198">
        <v>62000</v>
      </c>
      <c r="K22" s="199">
        <v>330</v>
      </c>
      <c r="L22" s="197"/>
    </row>
    <row r="23" ht="21" customHeight="1" spans="2:12">
      <c r="B23" s="178" t="s">
        <v>782</v>
      </c>
      <c r="C23" s="180" t="s">
        <v>783</v>
      </c>
      <c r="D23" s="177"/>
      <c r="E23" s="177"/>
      <c r="F23" s="177"/>
      <c r="G23" s="177"/>
      <c r="H23" s="177"/>
      <c r="I23" s="180" t="s">
        <v>767</v>
      </c>
      <c r="J23" s="193"/>
      <c r="K23" s="194"/>
      <c r="L23" s="197"/>
    </row>
    <row r="24" ht="21" customHeight="1" spans="2:12">
      <c r="B24" s="178" t="s">
        <v>784</v>
      </c>
      <c r="C24" s="180" t="s">
        <v>785</v>
      </c>
      <c r="D24" s="177">
        <f t="shared" ref="D24:D29" si="6">H24*0.85</f>
        <v>151.3</v>
      </c>
      <c r="E24" s="177">
        <f t="shared" ref="E24:E29" si="7">H24*0.05</f>
        <v>8.9</v>
      </c>
      <c r="F24" s="177">
        <f t="shared" ref="F24:G29" si="8">E24</f>
        <v>8.9</v>
      </c>
      <c r="G24" s="177">
        <f t="shared" si="8"/>
        <v>8.9</v>
      </c>
      <c r="H24" s="177">
        <f t="shared" ref="H24:H29" si="9">J24*K24*0.0001</f>
        <v>178</v>
      </c>
      <c r="I24" s="180" t="s">
        <v>767</v>
      </c>
      <c r="J24" s="196">
        <v>10000</v>
      </c>
      <c r="K24" s="194">
        <v>178</v>
      </c>
      <c r="L24" s="197"/>
    </row>
    <row r="25" ht="21" customHeight="1" spans="2:12">
      <c r="B25" s="178" t="s">
        <v>786</v>
      </c>
      <c r="C25" s="180" t="s">
        <v>787</v>
      </c>
      <c r="D25" s="177">
        <f t="shared" si="6"/>
        <v>102</v>
      </c>
      <c r="E25" s="177">
        <f t="shared" si="7"/>
        <v>6</v>
      </c>
      <c r="F25" s="177">
        <f t="shared" si="8"/>
        <v>6</v>
      </c>
      <c r="G25" s="177">
        <f t="shared" si="8"/>
        <v>6</v>
      </c>
      <c r="H25" s="177">
        <f t="shared" si="9"/>
        <v>120</v>
      </c>
      <c r="I25" s="180" t="s">
        <v>767</v>
      </c>
      <c r="J25" s="196">
        <v>10000</v>
      </c>
      <c r="K25" s="194">
        <v>120</v>
      </c>
      <c r="L25" s="197"/>
    </row>
    <row r="26" ht="21" customHeight="1" spans="2:12">
      <c r="B26" s="178" t="s">
        <v>788</v>
      </c>
      <c r="C26" s="180" t="s">
        <v>789</v>
      </c>
      <c r="D26" s="177">
        <f t="shared" si="6"/>
        <v>66.3</v>
      </c>
      <c r="E26" s="177">
        <f t="shared" si="7"/>
        <v>3.9</v>
      </c>
      <c r="F26" s="177">
        <f t="shared" si="8"/>
        <v>3.9</v>
      </c>
      <c r="G26" s="177">
        <f t="shared" si="8"/>
        <v>3.9</v>
      </c>
      <c r="H26" s="177">
        <f t="shared" si="9"/>
        <v>78</v>
      </c>
      <c r="I26" s="180" t="s">
        <v>767</v>
      </c>
      <c r="J26" s="196">
        <v>12000</v>
      </c>
      <c r="K26" s="194">
        <v>65</v>
      </c>
      <c r="L26" s="197"/>
    </row>
    <row r="27" ht="21" customHeight="1" spans="2:12">
      <c r="B27" s="178" t="s">
        <v>790</v>
      </c>
      <c r="C27" s="180" t="s">
        <v>791</v>
      </c>
      <c r="D27" s="177">
        <f t="shared" si="6"/>
        <v>201.875</v>
      </c>
      <c r="E27" s="177">
        <f t="shared" si="7"/>
        <v>11.875</v>
      </c>
      <c r="F27" s="177">
        <f t="shared" si="8"/>
        <v>11.875</v>
      </c>
      <c r="G27" s="177">
        <f t="shared" si="8"/>
        <v>11.875</v>
      </c>
      <c r="H27" s="177">
        <f t="shared" si="9"/>
        <v>237.5</v>
      </c>
      <c r="I27" s="180" t="s">
        <v>760</v>
      </c>
      <c r="J27" s="196">
        <v>95000</v>
      </c>
      <c r="K27" s="194">
        <v>25</v>
      </c>
      <c r="L27" s="197"/>
    </row>
    <row r="28" ht="21" customHeight="1" spans="2:12">
      <c r="B28" s="178" t="s">
        <v>792</v>
      </c>
      <c r="C28" s="180" t="s">
        <v>793</v>
      </c>
      <c r="D28" s="177">
        <f t="shared" si="6"/>
        <v>161.5</v>
      </c>
      <c r="E28" s="177">
        <f t="shared" si="7"/>
        <v>9.5</v>
      </c>
      <c r="F28" s="177">
        <f t="shared" si="8"/>
        <v>9.5</v>
      </c>
      <c r="G28" s="177">
        <f t="shared" si="8"/>
        <v>9.5</v>
      </c>
      <c r="H28" s="177">
        <f t="shared" si="9"/>
        <v>190</v>
      </c>
      <c r="I28" s="180" t="s">
        <v>760</v>
      </c>
      <c r="J28" s="196">
        <v>95000</v>
      </c>
      <c r="K28" s="194">
        <v>20</v>
      </c>
      <c r="L28" s="197"/>
    </row>
    <row r="29" ht="21" customHeight="1" spans="2:12">
      <c r="B29" s="178" t="s">
        <v>794</v>
      </c>
      <c r="C29" s="180" t="s">
        <v>795</v>
      </c>
      <c r="D29" s="177">
        <f t="shared" si="6"/>
        <v>40.375</v>
      </c>
      <c r="E29" s="177">
        <f t="shared" si="7"/>
        <v>2.375</v>
      </c>
      <c r="F29" s="177">
        <f t="shared" si="8"/>
        <v>2.375</v>
      </c>
      <c r="G29" s="177">
        <f t="shared" si="8"/>
        <v>2.375</v>
      </c>
      <c r="H29" s="177">
        <f t="shared" si="9"/>
        <v>47.5</v>
      </c>
      <c r="I29" s="180" t="s">
        <v>767</v>
      </c>
      <c r="J29" s="196">
        <v>95000</v>
      </c>
      <c r="K29" s="194">
        <v>5</v>
      </c>
      <c r="L29" s="197"/>
    </row>
    <row r="30" ht="21" customHeight="1" spans="2:12">
      <c r="B30" s="41" t="s">
        <v>51</v>
      </c>
      <c r="C30" s="66" t="s">
        <v>796</v>
      </c>
      <c r="D30" s="39">
        <v>0</v>
      </c>
      <c r="E30" s="39"/>
      <c r="F30" s="39"/>
      <c r="G30" s="40"/>
      <c r="H30" s="40">
        <v>0</v>
      </c>
      <c r="I30" s="64"/>
      <c r="J30" s="39"/>
      <c r="K30" s="200"/>
      <c r="L30" s="68"/>
    </row>
    <row r="31" ht="21" customHeight="1" spans="2:12">
      <c r="B31" s="41"/>
      <c r="C31" s="184" t="s">
        <v>797</v>
      </c>
      <c r="D31" s="39">
        <v>980</v>
      </c>
      <c r="E31" s="39"/>
      <c r="F31" s="39"/>
      <c r="G31" s="40"/>
      <c r="H31" s="40">
        <v>980</v>
      </c>
      <c r="I31" s="64" t="s">
        <v>762</v>
      </c>
      <c r="J31" s="64">
        <v>10</v>
      </c>
      <c r="K31" s="192">
        <v>980000</v>
      </c>
      <c r="L31" s="68"/>
    </row>
    <row r="32" ht="21" customHeight="1" spans="2:12">
      <c r="B32" s="41" t="s">
        <v>53</v>
      </c>
      <c r="C32" s="66" t="s">
        <v>798</v>
      </c>
      <c r="D32" s="39">
        <v>0</v>
      </c>
      <c r="E32" s="39"/>
      <c r="F32" s="39"/>
      <c r="G32" s="40"/>
      <c r="H32" s="40"/>
      <c r="I32" s="64"/>
      <c r="J32" s="65"/>
      <c r="K32" s="200"/>
      <c r="L32" s="68"/>
    </row>
    <row r="33" ht="21" customHeight="1" spans="2:12">
      <c r="B33" s="41"/>
      <c r="C33" s="69" t="s">
        <v>799</v>
      </c>
      <c r="D33" s="36">
        <v>450</v>
      </c>
      <c r="E33" s="36"/>
      <c r="F33" s="36"/>
      <c r="G33" s="37"/>
      <c r="H33" s="37">
        <v>450</v>
      </c>
      <c r="I33" s="69" t="s">
        <v>767</v>
      </c>
      <c r="J33" s="69">
        <v>10780</v>
      </c>
      <c r="K33" s="78">
        <v>348</v>
      </c>
      <c r="L33" s="68"/>
    </row>
    <row r="34" ht="21" customHeight="1" spans="2:12">
      <c r="B34" s="41"/>
      <c r="C34" s="69" t="s">
        <v>800</v>
      </c>
      <c r="D34" s="36">
        <f t="shared" ref="D34:D43" si="10">H34</f>
        <v>1155</v>
      </c>
      <c r="E34" s="36"/>
      <c r="F34" s="36"/>
      <c r="G34" s="37"/>
      <c r="H34" s="37">
        <v>1155</v>
      </c>
      <c r="I34" s="69" t="s">
        <v>767</v>
      </c>
      <c r="J34" s="69">
        <v>4620</v>
      </c>
      <c r="K34" s="78">
        <v>2500</v>
      </c>
      <c r="L34" s="68"/>
    </row>
    <row r="35" ht="21" customHeight="1" spans="2:12">
      <c r="B35" s="41"/>
      <c r="C35" s="185" t="s">
        <v>801</v>
      </c>
      <c r="D35" s="36">
        <f t="shared" si="10"/>
        <v>1755.6</v>
      </c>
      <c r="E35" s="36"/>
      <c r="F35" s="36"/>
      <c r="G35" s="37"/>
      <c r="H35" s="37">
        <v>1755.6</v>
      </c>
      <c r="I35" s="69" t="s">
        <v>767</v>
      </c>
      <c r="J35" s="69">
        <v>61600</v>
      </c>
      <c r="K35" s="78">
        <v>285</v>
      </c>
      <c r="L35" s="68"/>
    </row>
    <row r="36" ht="21" customHeight="1" spans="2:12">
      <c r="B36" s="41"/>
      <c r="C36" s="69" t="s">
        <v>802</v>
      </c>
      <c r="D36" s="36">
        <f t="shared" si="10"/>
        <v>216</v>
      </c>
      <c r="E36" s="36"/>
      <c r="F36" s="36"/>
      <c r="G36" s="37"/>
      <c r="H36" s="37">
        <v>216</v>
      </c>
      <c r="I36" s="69" t="s">
        <v>755</v>
      </c>
      <c r="J36" s="69">
        <v>5</v>
      </c>
      <c r="K36" s="78">
        <v>650000</v>
      </c>
      <c r="L36" s="98" t="s">
        <v>803</v>
      </c>
    </row>
    <row r="37" ht="21" customHeight="1" spans="2:12">
      <c r="B37" s="41"/>
      <c r="C37" s="69" t="s">
        <v>804</v>
      </c>
      <c r="D37" s="36">
        <f t="shared" si="10"/>
        <v>42</v>
      </c>
      <c r="E37" s="36"/>
      <c r="F37" s="36"/>
      <c r="G37" s="37"/>
      <c r="H37" s="37">
        <v>42</v>
      </c>
      <c r="I37" s="69" t="s">
        <v>805</v>
      </c>
      <c r="J37" s="69">
        <v>140</v>
      </c>
      <c r="K37" s="78">
        <v>3000</v>
      </c>
      <c r="L37" s="68"/>
    </row>
    <row r="38" ht="21" customHeight="1" spans="2:12">
      <c r="B38" s="41"/>
      <c r="C38" s="69" t="s">
        <v>806</v>
      </c>
      <c r="D38" s="36">
        <f t="shared" si="10"/>
        <v>27</v>
      </c>
      <c r="E38" s="36"/>
      <c r="F38" s="36"/>
      <c r="G38" s="37"/>
      <c r="H38" s="37">
        <v>27</v>
      </c>
      <c r="I38" s="69" t="s">
        <v>805</v>
      </c>
      <c r="J38" s="69">
        <v>180</v>
      </c>
      <c r="K38" s="78">
        <v>1500</v>
      </c>
      <c r="L38" s="68"/>
    </row>
    <row r="39" ht="21" customHeight="1" spans="2:12">
      <c r="B39" s="41"/>
      <c r="C39" s="69" t="s">
        <v>807</v>
      </c>
      <c r="D39" s="36">
        <f t="shared" si="10"/>
        <v>21.25</v>
      </c>
      <c r="E39" s="36"/>
      <c r="F39" s="36"/>
      <c r="G39" s="37"/>
      <c r="H39" s="37">
        <v>21.25</v>
      </c>
      <c r="I39" s="69" t="s">
        <v>805</v>
      </c>
      <c r="J39" s="69">
        <v>85</v>
      </c>
      <c r="K39" s="78">
        <v>2500</v>
      </c>
      <c r="L39" s="68"/>
    </row>
    <row r="40" ht="21" customHeight="1" spans="2:12">
      <c r="B40" s="41"/>
      <c r="C40" s="69" t="s">
        <v>808</v>
      </c>
      <c r="D40" s="36">
        <f t="shared" si="10"/>
        <v>450</v>
      </c>
      <c r="E40" s="36"/>
      <c r="F40" s="36"/>
      <c r="G40" s="37"/>
      <c r="H40" s="37">
        <v>450</v>
      </c>
      <c r="I40" s="69" t="s">
        <v>29</v>
      </c>
      <c r="J40" s="69">
        <v>3000</v>
      </c>
      <c r="K40" s="78">
        <v>1500</v>
      </c>
      <c r="L40" s="68"/>
    </row>
    <row r="41" ht="21" customHeight="1" spans="2:12">
      <c r="B41" s="41"/>
      <c r="C41" s="69" t="s">
        <v>809</v>
      </c>
      <c r="D41" s="36">
        <f t="shared" si="10"/>
        <v>77</v>
      </c>
      <c r="E41" s="36"/>
      <c r="F41" s="36"/>
      <c r="G41" s="37"/>
      <c r="H41" s="37">
        <v>77</v>
      </c>
      <c r="I41" s="69" t="s">
        <v>755</v>
      </c>
      <c r="J41" s="69">
        <v>7</v>
      </c>
      <c r="K41" s="78">
        <v>110000</v>
      </c>
      <c r="L41" s="98" t="s">
        <v>803</v>
      </c>
    </row>
    <row r="42" ht="21" customHeight="1" spans="2:12">
      <c r="B42" s="41"/>
      <c r="C42" s="69" t="s">
        <v>810</v>
      </c>
      <c r="D42" s="36">
        <f t="shared" si="10"/>
        <v>231</v>
      </c>
      <c r="E42" s="36"/>
      <c r="F42" s="36"/>
      <c r="G42" s="37"/>
      <c r="H42" s="37">
        <v>231</v>
      </c>
      <c r="I42" s="69" t="s">
        <v>811</v>
      </c>
      <c r="J42" s="69">
        <v>77000</v>
      </c>
      <c r="K42" s="78">
        <v>30</v>
      </c>
      <c r="L42" s="68"/>
    </row>
    <row r="43" ht="21" customHeight="1" spans="2:12">
      <c r="B43" s="41"/>
      <c r="C43" s="69" t="s">
        <v>812</v>
      </c>
      <c r="D43" s="36">
        <f t="shared" si="10"/>
        <v>192.5</v>
      </c>
      <c r="E43" s="36"/>
      <c r="F43" s="36"/>
      <c r="G43" s="37"/>
      <c r="H43" s="37">
        <v>192.5</v>
      </c>
      <c r="I43" s="69" t="s">
        <v>813</v>
      </c>
      <c r="J43" s="69">
        <v>1</v>
      </c>
      <c r="K43" s="78"/>
      <c r="L43" s="68"/>
    </row>
    <row r="44" ht="21" customHeight="1" spans="2:12">
      <c r="B44" s="41" t="s">
        <v>55</v>
      </c>
      <c r="C44" s="66" t="s">
        <v>814</v>
      </c>
      <c r="D44" s="39">
        <v>0</v>
      </c>
      <c r="E44" s="39"/>
      <c r="F44" s="39"/>
      <c r="G44" s="40"/>
      <c r="H44" s="40">
        <v>0</v>
      </c>
      <c r="I44" s="64"/>
      <c r="J44" s="39"/>
      <c r="K44" s="200"/>
      <c r="L44" s="68"/>
    </row>
    <row r="45" ht="21" customHeight="1" spans="2:12">
      <c r="B45" s="41"/>
      <c r="C45" s="64" t="s">
        <v>815</v>
      </c>
      <c r="D45" s="39">
        <v>160</v>
      </c>
      <c r="E45" s="39"/>
      <c r="F45" s="39"/>
      <c r="G45" s="40"/>
      <c r="H45" s="40">
        <v>160</v>
      </c>
      <c r="I45" s="64" t="s">
        <v>762</v>
      </c>
      <c r="J45" s="64">
        <v>2</v>
      </c>
      <c r="K45" s="192">
        <v>800000</v>
      </c>
      <c r="L45" s="68"/>
    </row>
    <row r="46" ht="21" customHeight="1" spans="2:12">
      <c r="B46" s="41"/>
      <c r="C46" s="64" t="s">
        <v>816</v>
      </c>
      <c r="D46" s="39">
        <v>30</v>
      </c>
      <c r="E46" s="39"/>
      <c r="F46" s="39"/>
      <c r="G46" s="40"/>
      <c r="H46" s="40">
        <v>30</v>
      </c>
      <c r="I46" s="64" t="s">
        <v>762</v>
      </c>
      <c r="J46" s="64">
        <v>2</v>
      </c>
      <c r="K46" s="192">
        <v>150000</v>
      </c>
      <c r="L46" s="68"/>
    </row>
    <row r="47" ht="21" customHeight="1" spans="2:12">
      <c r="B47" s="41"/>
      <c r="C47" s="64" t="s">
        <v>817</v>
      </c>
      <c r="D47" s="39">
        <v>100</v>
      </c>
      <c r="E47" s="39"/>
      <c r="F47" s="39"/>
      <c r="G47" s="40"/>
      <c r="H47" s="40">
        <v>100</v>
      </c>
      <c r="I47" s="64" t="s">
        <v>762</v>
      </c>
      <c r="J47" s="64">
        <v>2</v>
      </c>
      <c r="K47" s="192">
        <v>500000</v>
      </c>
      <c r="L47" s="68"/>
    </row>
    <row r="48" ht="21" customHeight="1" spans="2:12">
      <c r="B48" s="41"/>
      <c r="C48" s="64" t="s">
        <v>818</v>
      </c>
      <c r="D48" s="39">
        <v>15</v>
      </c>
      <c r="E48" s="39"/>
      <c r="F48" s="39"/>
      <c r="G48" s="40"/>
      <c r="H48" s="40">
        <v>15</v>
      </c>
      <c r="I48" s="64" t="s">
        <v>762</v>
      </c>
      <c r="J48" s="64">
        <v>6</v>
      </c>
      <c r="K48" s="192">
        <v>25000</v>
      </c>
      <c r="L48" s="68"/>
    </row>
    <row r="49" ht="21" customHeight="1" spans="2:12">
      <c r="B49" s="41"/>
      <c r="C49" s="64" t="s">
        <v>819</v>
      </c>
      <c r="D49" s="39">
        <v>430</v>
      </c>
      <c r="E49" s="39"/>
      <c r="F49" s="39"/>
      <c r="G49" s="40"/>
      <c r="H49" s="40">
        <v>430</v>
      </c>
      <c r="I49" s="64" t="s">
        <v>820</v>
      </c>
      <c r="J49" s="64">
        <v>17.2</v>
      </c>
      <c r="K49" s="192">
        <v>250000</v>
      </c>
      <c r="L49" s="68"/>
    </row>
    <row r="50" ht="21" customHeight="1" spans="2:12">
      <c r="B50" s="41"/>
      <c r="C50" s="64" t="s">
        <v>821</v>
      </c>
      <c r="D50" s="39">
        <v>90</v>
      </c>
      <c r="E50" s="39"/>
      <c r="F50" s="39"/>
      <c r="G50" s="40"/>
      <c r="H50" s="40">
        <v>90</v>
      </c>
      <c r="I50" s="64" t="s">
        <v>820</v>
      </c>
      <c r="J50" s="64">
        <v>5</v>
      </c>
      <c r="K50" s="64">
        <v>180000</v>
      </c>
      <c r="L50" s="68"/>
    </row>
    <row r="51" ht="21" customHeight="1" spans="2:12">
      <c r="B51" s="41"/>
      <c r="C51" s="64" t="s">
        <v>822</v>
      </c>
      <c r="D51" s="39">
        <v>30</v>
      </c>
      <c r="E51" s="39"/>
      <c r="F51" s="39"/>
      <c r="G51" s="40"/>
      <c r="H51" s="40">
        <v>30</v>
      </c>
      <c r="I51" s="64" t="s">
        <v>820</v>
      </c>
      <c r="J51" s="64">
        <v>5</v>
      </c>
      <c r="K51" s="64">
        <v>60000</v>
      </c>
      <c r="L51" s="68"/>
    </row>
    <row r="52" ht="21" customHeight="1" spans="2:12">
      <c r="B52" s="41"/>
      <c r="C52" s="64" t="s">
        <v>823</v>
      </c>
      <c r="D52" s="39">
        <v>106.8</v>
      </c>
      <c r="E52" s="39"/>
      <c r="F52" s="39"/>
      <c r="G52" s="40"/>
      <c r="H52" s="40">
        <v>106.8</v>
      </c>
      <c r="I52" s="64" t="s">
        <v>229</v>
      </c>
      <c r="J52" s="64">
        <v>356</v>
      </c>
      <c r="K52" s="64">
        <v>3000</v>
      </c>
      <c r="L52" s="68"/>
    </row>
    <row r="53" ht="21" customHeight="1" spans="2:12">
      <c r="B53" s="41"/>
      <c r="C53" s="64" t="s">
        <v>824</v>
      </c>
      <c r="D53" s="39">
        <v>0.2</v>
      </c>
      <c r="E53" s="39"/>
      <c r="F53" s="39"/>
      <c r="G53" s="40"/>
      <c r="H53" s="40">
        <v>0.2</v>
      </c>
      <c r="I53" s="64" t="s">
        <v>170</v>
      </c>
      <c r="J53" s="64">
        <v>1</v>
      </c>
      <c r="K53" s="64">
        <v>2000</v>
      </c>
      <c r="L53" s="68"/>
    </row>
    <row r="54" ht="21" customHeight="1" spans="2:12">
      <c r="B54" s="41"/>
      <c r="C54" s="64" t="s">
        <v>825</v>
      </c>
      <c r="D54" s="39">
        <v>260</v>
      </c>
      <c r="E54" s="39"/>
      <c r="F54" s="39"/>
      <c r="G54" s="40"/>
      <c r="H54" s="40">
        <v>260</v>
      </c>
      <c r="I54" s="64" t="s">
        <v>170</v>
      </c>
      <c r="J54" s="64">
        <v>13</v>
      </c>
      <c r="K54" s="64">
        <v>200000</v>
      </c>
      <c r="L54" s="68"/>
    </row>
    <row r="55" ht="21" customHeight="1" spans="2:12">
      <c r="B55" s="41"/>
      <c r="C55" s="64" t="s">
        <v>826</v>
      </c>
      <c r="D55" s="39">
        <v>51.6</v>
      </c>
      <c r="E55" s="39"/>
      <c r="F55" s="39"/>
      <c r="G55" s="40"/>
      <c r="H55" s="40">
        <v>51.6</v>
      </c>
      <c r="I55" s="64" t="s">
        <v>820</v>
      </c>
      <c r="J55" s="64">
        <v>17.2</v>
      </c>
      <c r="K55" s="64">
        <v>30000</v>
      </c>
      <c r="L55" s="68"/>
    </row>
    <row r="56" ht="21" customHeight="1" spans="2:12">
      <c r="B56" s="41"/>
      <c r="C56" s="64" t="s">
        <v>827</v>
      </c>
      <c r="D56" s="39">
        <v>103.2</v>
      </c>
      <c r="E56" s="39"/>
      <c r="F56" s="39"/>
      <c r="G56" s="40"/>
      <c r="H56" s="40">
        <v>103.2</v>
      </c>
      <c r="I56" s="64" t="s">
        <v>229</v>
      </c>
      <c r="J56" s="64">
        <v>344</v>
      </c>
      <c r="K56" s="64">
        <v>3000</v>
      </c>
      <c r="L56" s="68"/>
    </row>
    <row r="57" ht="21" customHeight="1" spans="2:12">
      <c r="B57" s="41"/>
      <c r="C57" s="64" t="s">
        <v>828</v>
      </c>
      <c r="D57" s="39">
        <v>400</v>
      </c>
      <c r="E57" s="39"/>
      <c r="F57" s="39"/>
      <c r="G57" s="40"/>
      <c r="H57" s="40">
        <v>400</v>
      </c>
      <c r="I57" s="64" t="s">
        <v>170</v>
      </c>
      <c r="J57" s="64">
        <v>1</v>
      </c>
      <c r="K57" s="64"/>
      <c r="L57" s="68"/>
    </row>
    <row r="58" ht="21" customHeight="1" spans="2:12">
      <c r="B58" s="41"/>
      <c r="C58" s="64" t="s">
        <v>829</v>
      </c>
      <c r="D58" s="39">
        <v>530</v>
      </c>
      <c r="E58" s="39"/>
      <c r="F58" s="39"/>
      <c r="G58" s="40"/>
      <c r="H58" s="40">
        <v>530</v>
      </c>
      <c r="I58" s="64" t="s">
        <v>762</v>
      </c>
      <c r="J58" s="64">
        <v>1</v>
      </c>
      <c r="K58" s="64"/>
      <c r="L58" s="68"/>
    </row>
    <row r="59" ht="21" customHeight="1" spans="2:12">
      <c r="B59" s="41" t="s">
        <v>59</v>
      </c>
      <c r="C59" s="66" t="s">
        <v>830</v>
      </c>
      <c r="D59" s="39"/>
      <c r="E59" s="39"/>
      <c r="F59" s="39"/>
      <c r="G59" s="40"/>
      <c r="H59" s="40"/>
      <c r="I59" s="64"/>
      <c r="J59" s="64"/>
      <c r="K59" s="64"/>
      <c r="L59" s="68"/>
    </row>
    <row r="60" ht="21" customHeight="1" spans="2:12">
      <c r="B60" s="41"/>
      <c r="C60" s="64" t="s">
        <v>831</v>
      </c>
      <c r="D60" s="39">
        <v>3</v>
      </c>
      <c r="E60" s="39"/>
      <c r="F60" s="39"/>
      <c r="G60" s="40"/>
      <c r="H60" s="40">
        <v>3</v>
      </c>
      <c r="I60" s="64" t="s">
        <v>170</v>
      </c>
      <c r="J60" s="64">
        <v>1</v>
      </c>
      <c r="K60" s="64">
        <v>30000</v>
      </c>
      <c r="L60" s="68"/>
    </row>
    <row r="61" ht="21" customHeight="1" spans="2:12">
      <c r="B61" s="41"/>
      <c r="C61" s="64" t="s">
        <v>832</v>
      </c>
      <c r="D61" s="39">
        <v>23.65</v>
      </c>
      <c r="E61" s="39"/>
      <c r="F61" s="39"/>
      <c r="G61" s="40"/>
      <c r="H61" s="40">
        <v>23.65</v>
      </c>
      <c r="I61" s="64" t="s">
        <v>29</v>
      </c>
      <c r="J61" s="64">
        <v>1100</v>
      </c>
      <c r="K61" s="64">
        <v>215</v>
      </c>
      <c r="L61" s="68"/>
    </row>
    <row r="62" ht="21" customHeight="1" spans="2:14">
      <c r="B62" s="41" t="s">
        <v>833</v>
      </c>
      <c r="C62" s="66" t="s">
        <v>834</v>
      </c>
      <c r="D62" s="39"/>
      <c r="E62" s="33"/>
      <c r="F62" s="33"/>
      <c r="G62" s="33"/>
      <c r="H62" s="55">
        <f>SUM(H63:H112)</f>
        <v>8759.3257</v>
      </c>
      <c r="I62" s="66"/>
      <c r="J62" s="67"/>
      <c r="K62" s="66"/>
      <c r="L62" s="68"/>
      <c r="M62" s="201">
        <v>5852.6747</v>
      </c>
      <c r="N62" s="189">
        <f>H62-M62</f>
        <v>2906.651</v>
      </c>
    </row>
    <row r="63" ht="21" customHeight="1" spans="2:12">
      <c r="B63" s="34" t="s">
        <v>18</v>
      </c>
      <c r="C63" s="175" t="s">
        <v>752</v>
      </c>
      <c r="D63" s="36"/>
      <c r="E63" s="36"/>
      <c r="F63" s="36"/>
      <c r="G63" s="37"/>
      <c r="H63" s="37"/>
      <c r="I63" s="69"/>
      <c r="J63" s="36"/>
      <c r="K63" s="70"/>
      <c r="L63" s="68"/>
    </row>
    <row r="64" ht="21" customHeight="1" spans="2:12">
      <c r="B64" s="34"/>
      <c r="C64" s="69" t="s">
        <v>753</v>
      </c>
      <c r="D64" s="36">
        <f t="shared" ref="D64:D68" si="11">H64</f>
        <v>223.846</v>
      </c>
      <c r="E64" s="36"/>
      <c r="F64" s="36"/>
      <c r="G64" s="37"/>
      <c r="H64" s="37">
        <f>(J64*K64)/10000</f>
        <v>223.846</v>
      </c>
      <c r="I64" s="69" t="s">
        <v>29</v>
      </c>
      <c r="J64" s="69">
        <v>2710</v>
      </c>
      <c r="K64" s="78">
        <v>826</v>
      </c>
      <c r="L64" s="68"/>
    </row>
    <row r="65" ht="21" customHeight="1" spans="2:12">
      <c r="B65" s="34"/>
      <c r="C65" s="69" t="s">
        <v>835</v>
      </c>
      <c r="D65" s="36">
        <f t="shared" si="11"/>
        <v>360</v>
      </c>
      <c r="E65" s="36"/>
      <c r="F65" s="36"/>
      <c r="G65" s="37"/>
      <c r="H65" s="37">
        <f>(J65*K65)/10000</f>
        <v>360</v>
      </c>
      <c r="I65" s="69" t="s">
        <v>755</v>
      </c>
      <c r="J65" s="69">
        <v>6</v>
      </c>
      <c r="K65" s="78">
        <v>600000</v>
      </c>
      <c r="L65" s="98" t="s">
        <v>836</v>
      </c>
    </row>
    <row r="66" ht="21" customHeight="1" spans="2:12">
      <c r="B66" s="41" t="s">
        <v>40</v>
      </c>
      <c r="C66" s="202" t="s">
        <v>837</v>
      </c>
      <c r="D66" s="39">
        <v>0</v>
      </c>
      <c r="E66" s="39"/>
      <c r="F66" s="39"/>
      <c r="G66" s="40"/>
      <c r="H66" s="40"/>
      <c r="I66" s="71"/>
      <c r="J66" s="71"/>
      <c r="K66" s="71"/>
      <c r="L66" s="68"/>
    </row>
    <row r="67" ht="21" customHeight="1" spans="2:12">
      <c r="B67" s="41"/>
      <c r="C67" s="69" t="s">
        <v>757</v>
      </c>
      <c r="D67" s="36">
        <f>J67*K67/10000</f>
        <v>2408</v>
      </c>
      <c r="E67" s="36"/>
      <c r="F67" s="36"/>
      <c r="G67" s="37"/>
      <c r="H67" s="37">
        <f>D67</f>
        <v>2408</v>
      </c>
      <c r="I67" s="69" t="s">
        <v>29</v>
      </c>
      <c r="J67" s="69">
        <f>3010*2</f>
        <v>6020</v>
      </c>
      <c r="K67" s="69">
        <v>4000</v>
      </c>
      <c r="L67" s="68"/>
    </row>
    <row r="68" ht="21" customHeight="1" spans="2:12">
      <c r="B68" s="41"/>
      <c r="C68" s="69" t="s">
        <v>759</v>
      </c>
      <c r="D68" s="36">
        <f t="shared" si="11"/>
        <v>150.5</v>
      </c>
      <c r="E68" s="36"/>
      <c r="F68" s="36"/>
      <c r="G68" s="37"/>
      <c r="H68" s="37">
        <f>J68*K68/10000</f>
        <v>150.5</v>
      </c>
      <c r="I68" s="69" t="s">
        <v>760</v>
      </c>
      <c r="J68" s="69">
        <f>3010*10*1</f>
        <v>30100</v>
      </c>
      <c r="K68" s="69">
        <v>50</v>
      </c>
      <c r="L68" s="68"/>
    </row>
    <row r="69" ht="21" customHeight="1" spans="2:12">
      <c r="B69" s="41"/>
      <c r="C69" s="71" t="s">
        <v>838</v>
      </c>
      <c r="D69" s="39">
        <v>53.8897</v>
      </c>
      <c r="E69" s="39"/>
      <c r="F69" s="39"/>
      <c r="G69" s="40"/>
      <c r="H69" s="40">
        <v>53.8897</v>
      </c>
      <c r="I69" s="64" t="s">
        <v>762</v>
      </c>
      <c r="J69" s="71">
        <v>5</v>
      </c>
      <c r="K69" s="219">
        <v>107779.4</v>
      </c>
      <c r="L69" s="68"/>
    </row>
    <row r="70" ht="21" customHeight="1" spans="2:12">
      <c r="B70" s="175" t="s">
        <v>45</v>
      </c>
      <c r="C70" s="66" t="s">
        <v>764</v>
      </c>
      <c r="D70" s="177"/>
      <c r="E70" s="177"/>
      <c r="F70" s="177"/>
      <c r="G70" s="177"/>
      <c r="H70" s="177"/>
      <c r="I70" s="193"/>
      <c r="J70" s="193"/>
      <c r="K70" s="193"/>
      <c r="L70" s="68"/>
    </row>
    <row r="71" ht="21" customHeight="1" spans="2:12">
      <c r="B71" s="178" t="s">
        <v>765</v>
      </c>
      <c r="C71" s="179" t="s">
        <v>766</v>
      </c>
      <c r="D71" s="177">
        <f>H71*0.85</f>
        <v>149.6</v>
      </c>
      <c r="E71" s="177">
        <f>H71*0.05</f>
        <v>8.8</v>
      </c>
      <c r="F71" s="177">
        <v>16.8</v>
      </c>
      <c r="G71" s="177">
        <f>H71*0.05</f>
        <v>8.8</v>
      </c>
      <c r="H71" s="177">
        <f>J71*K71*0.0001</f>
        <v>176</v>
      </c>
      <c r="I71" s="180" t="s">
        <v>767</v>
      </c>
      <c r="J71" s="177">
        <v>22000</v>
      </c>
      <c r="K71" s="194">
        <v>80</v>
      </c>
      <c r="L71" s="68"/>
    </row>
    <row r="72" ht="21" customHeight="1" spans="2:12">
      <c r="B72" s="178" t="s">
        <v>768</v>
      </c>
      <c r="C72" s="179" t="s">
        <v>769</v>
      </c>
      <c r="D72" s="177">
        <f>H72*0.6</f>
        <v>108</v>
      </c>
      <c r="E72" s="177">
        <f>H72*0.2</f>
        <v>36</v>
      </c>
      <c r="F72" s="177">
        <f>H72*0.15</f>
        <v>27</v>
      </c>
      <c r="G72" s="177">
        <f>H72*0.05</f>
        <v>9</v>
      </c>
      <c r="H72" s="177">
        <f>J72*K72*0.0001</f>
        <v>180</v>
      </c>
      <c r="I72" s="180" t="s">
        <v>760</v>
      </c>
      <c r="J72" s="196">
        <v>15000</v>
      </c>
      <c r="K72" s="194">
        <v>120</v>
      </c>
      <c r="L72" s="98" t="s">
        <v>839</v>
      </c>
    </row>
    <row r="73" ht="21" customHeight="1" spans="2:12">
      <c r="B73" s="41" t="s">
        <v>47</v>
      </c>
      <c r="C73" s="202" t="s">
        <v>840</v>
      </c>
      <c r="D73" s="39">
        <v>42.24</v>
      </c>
      <c r="E73" s="39"/>
      <c r="F73" s="39"/>
      <c r="G73" s="40"/>
      <c r="H73" s="40">
        <v>42.24</v>
      </c>
      <c r="I73" s="71" t="s">
        <v>841</v>
      </c>
      <c r="J73" s="71">
        <v>1</v>
      </c>
      <c r="K73" s="71"/>
      <c r="L73" s="68"/>
    </row>
    <row r="74" ht="21" customHeight="1" spans="2:12">
      <c r="B74" s="41" t="s">
        <v>51</v>
      </c>
      <c r="C74" s="202" t="s">
        <v>842</v>
      </c>
      <c r="D74" s="39">
        <v>52.8</v>
      </c>
      <c r="E74" s="39"/>
      <c r="F74" s="39"/>
      <c r="G74" s="40"/>
      <c r="H74" s="40">
        <v>52.8</v>
      </c>
      <c r="I74" s="71" t="s">
        <v>841</v>
      </c>
      <c r="J74" s="71">
        <v>1</v>
      </c>
      <c r="K74" s="71"/>
      <c r="L74" s="68"/>
    </row>
    <row r="75" ht="21" customHeight="1" spans="2:12">
      <c r="B75" s="175" t="s">
        <v>53</v>
      </c>
      <c r="C75" s="175" t="s">
        <v>843</v>
      </c>
      <c r="D75" s="177">
        <v>0</v>
      </c>
      <c r="E75" s="177"/>
      <c r="F75" s="177"/>
      <c r="G75" s="177"/>
      <c r="H75" s="177"/>
      <c r="I75" s="193"/>
      <c r="J75" s="177"/>
      <c r="K75" s="194"/>
      <c r="L75" s="197"/>
    </row>
    <row r="76" ht="21" customHeight="1" spans="2:12">
      <c r="B76" s="178" t="s">
        <v>844</v>
      </c>
      <c r="C76" s="180" t="s">
        <v>772</v>
      </c>
      <c r="D76" s="177">
        <v>126</v>
      </c>
      <c r="E76" s="177">
        <f>D76*0.05</f>
        <v>6.3</v>
      </c>
      <c r="F76" s="177">
        <f t="shared" ref="F76:G80" si="12">E76</f>
        <v>6.3</v>
      </c>
      <c r="G76" s="177">
        <f>F76*0.5</f>
        <v>3.15</v>
      </c>
      <c r="H76" s="177">
        <f>D76+E76+F76+G76</f>
        <v>141.75</v>
      </c>
      <c r="I76" s="180" t="s">
        <v>760</v>
      </c>
      <c r="J76" s="196">
        <v>92</v>
      </c>
      <c r="K76" s="194">
        <v>5000</v>
      </c>
      <c r="L76" s="197"/>
    </row>
    <row r="77" ht="21" customHeight="1" spans="2:12">
      <c r="B77" s="178" t="s">
        <v>845</v>
      </c>
      <c r="C77" s="180" t="s">
        <v>774</v>
      </c>
      <c r="D77" s="177">
        <f t="shared" ref="D77:D80" si="13">H77*0.85</f>
        <v>15.3</v>
      </c>
      <c r="E77" s="177">
        <f t="shared" ref="E77:E80" si="14">H77*0.05</f>
        <v>0.9</v>
      </c>
      <c r="F77" s="177">
        <f t="shared" si="12"/>
        <v>0.9</v>
      </c>
      <c r="G77" s="177">
        <f t="shared" si="12"/>
        <v>0.9</v>
      </c>
      <c r="H77" s="177">
        <f t="shared" ref="H77:H80" si="15">J77*K77*0.0001</f>
        <v>18</v>
      </c>
      <c r="I77" s="180" t="s">
        <v>767</v>
      </c>
      <c r="J77" s="196">
        <v>1000</v>
      </c>
      <c r="K77" s="194">
        <v>180</v>
      </c>
      <c r="L77" s="197"/>
    </row>
    <row r="78" ht="21" customHeight="1" spans="2:12">
      <c r="B78" s="178" t="s">
        <v>846</v>
      </c>
      <c r="C78" s="180" t="s">
        <v>776</v>
      </c>
      <c r="D78" s="177">
        <f t="shared" si="13"/>
        <v>15.13</v>
      </c>
      <c r="E78" s="177">
        <f t="shared" si="14"/>
        <v>0.89</v>
      </c>
      <c r="F78" s="177">
        <f t="shared" si="12"/>
        <v>0.89</v>
      </c>
      <c r="G78" s="177">
        <f t="shared" si="12"/>
        <v>0.89</v>
      </c>
      <c r="H78" s="177">
        <f t="shared" si="15"/>
        <v>17.8</v>
      </c>
      <c r="I78" s="180" t="s">
        <v>767</v>
      </c>
      <c r="J78" s="196">
        <v>2000</v>
      </c>
      <c r="K78" s="194">
        <v>89</v>
      </c>
      <c r="L78" s="197"/>
    </row>
    <row r="79" ht="21" customHeight="1" spans="2:12">
      <c r="B79" s="178" t="s">
        <v>847</v>
      </c>
      <c r="C79" s="180" t="s">
        <v>778</v>
      </c>
      <c r="D79" s="177">
        <f t="shared" si="13"/>
        <v>1.36</v>
      </c>
      <c r="E79" s="177">
        <f t="shared" si="14"/>
        <v>0.08</v>
      </c>
      <c r="F79" s="177">
        <f t="shared" si="12"/>
        <v>0.08</v>
      </c>
      <c r="G79" s="177">
        <f t="shared" si="12"/>
        <v>0.08</v>
      </c>
      <c r="H79" s="177">
        <f t="shared" si="15"/>
        <v>1.6</v>
      </c>
      <c r="I79" s="180" t="s">
        <v>779</v>
      </c>
      <c r="J79" s="196">
        <v>2</v>
      </c>
      <c r="K79" s="194">
        <v>8000</v>
      </c>
      <c r="L79" s="197"/>
    </row>
    <row r="80" ht="21" customHeight="1" spans="2:12">
      <c r="B80" s="178" t="s">
        <v>848</v>
      </c>
      <c r="C80" s="180" t="s">
        <v>849</v>
      </c>
      <c r="D80" s="177">
        <f t="shared" si="13"/>
        <v>1542.75</v>
      </c>
      <c r="E80" s="177">
        <f t="shared" si="14"/>
        <v>90.75</v>
      </c>
      <c r="F80" s="177">
        <f t="shared" si="12"/>
        <v>90.75</v>
      </c>
      <c r="G80" s="177">
        <f t="shared" si="12"/>
        <v>90.75</v>
      </c>
      <c r="H80" s="177">
        <f t="shared" si="15"/>
        <v>1815</v>
      </c>
      <c r="I80" s="180" t="s">
        <v>767</v>
      </c>
      <c r="J80" s="196">
        <v>55000</v>
      </c>
      <c r="K80" s="194">
        <v>330</v>
      </c>
      <c r="L80" s="197"/>
    </row>
    <row r="81" ht="21" customHeight="1" spans="2:12">
      <c r="B81" s="178" t="s">
        <v>850</v>
      </c>
      <c r="C81" s="180" t="s">
        <v>783</v>
      </c>
      <c r="D81" s="177"/>
      <c r="E81" s="177"/>
      <c r="F81" s="177"/>
      <c r="G81" s="177"/>
      <c r="H81" s="177"/>
      <c r="I81" s="180" t="s">
        <v>767</v>
      </c>
      <c r="J81" s="193"/>
      <c r="K81" s="194"/>
      <c r="L81" s="197"/>
    </row>
    <row r="82" ht="21" customHeight="1" spans="2:12">
      <c r="B82" s="178" t="s">
        <v>851</v>
      </c>
      <c r="C82" s="180" t="s">
        <v>785</v>
      </c>
      <c r="D82" s="177">
        <f t="shared" ref="D82:D87" si="16">H82*0.85</f>
        <v>30.26</v>
      </c>
      <c r="E82" s="177">
        <f t="shared" ref="E82:E87" si="17">H82*0.05</f>
        <v>1.78</v>
      </c>
      <c r="F82" s="177">
        <f t="shared" ref="F82:G87" si="18">E82</f>
        <v>1.78</v>
      </c>
      <c r="G82" s="177">
        <f t="shared" si="18"/>
        <v>1.78</v>
      </c>
      <c r="H82" s="177">
        <f t="shared" ref="H82:H87" si="19">J82*K82*0.0001</f>
        <v>35.6</v>
      </c>
      <c r="I82" s="180" t="s">
        <v>767</v>
      </c>
      <c r="J82" s="196">
        <v>2000</v>
      </c>
      <c r="K82" s="194">
        <v>178</v>
      </c>
      <c r="L82" s="197"/>
    </row>
    <row r="83" ht="21" customHeight="1" spans="2:12">
      <c r="B83" s="178" t="s">
        <v>852</v>
      </c>
      <c r="C83" s="180" t="s">
        <v>787</v>
      </c>
      <c r="D83" s="177">
        <f t="shared" si="16"/>
        <v>10.2</v>
      </c>
      <c r="E83" s="177">
        <f t="shared" si="17"/>
        <v>0.6</v>
      </c>
      <c r="F83" s="177">
        <f t="shared" si="18"/>
        <v>0.6</v>
      </c>
      <c r="G83" s="177">
        <f t="shared" si="18"/>
        <v>0.6</v>
      </c>
      <c r="H83" s="177">
        <f t="shared" si="19"/>
        <v>12</v>
      </c>
      <c r="I83" s="180" t="s">
        <v>767</v>
      </c>
      <c r="J83" s="196">
        <v>1000</v>
      </c>
      <c r="K83" s="194">
        <v>120</v>
      </c>
      <c r="L83" s="197"/>
    </row>
    <row r="84" ht="21" customHeight="1" spans="2:12">
      <c r="B84" s="178" t="s">
        <v>853</v>
      </c>
      <c r="C84" s="180" t="s">
        <v>789</v>
      </c>
      <c r="D84" s="177">
        <f t="shared" si="16"/>
        <v>11.05</v>
      </c>
      <c r="E84" s="177">
        <f t="shared" si="17"/>
        <v>0.65</v>
      </c>
      <c r="F84" s="177">
        <f t="shared" si="18"/>
        <v>0.65</v>
      </c>
      <c r="G84" s="177">
        <f t="shared" si="18"/>
        <v>0.65</v>
      </c>
      <c r="H84" s="177">
        <f t="shared" si="19"/>
        <v>13</v>
      </c>
      <c r="I84" s="180" t="s">
        <v>767</v>
      </c>
      <c r="J84" s="196">
        <v>2000</v>
      </c>
      <c r="K84" s="194">
        <v>65</v>
      </c>
      <c r="L84" s="197"/>
    </row>
    <row r="85" ht="21" customHeight="1" spans="2:12">
      <c r="B85" s="178" t="s">
        <v>854</v>
      </c>
      <c r="C85" s="180" t="s">
        <v>791</v>
      </c>
      <c r="D85" s="177">
        <f t="shared" si="16"/>
        <v>74.375</v>
      </c>
      <c r="E85" s="177">
        <f t="shared" si="17"/>
        <v>4.375</v>
      </c>
      <c r="F85" s="177">
        <f t="shared" si="18"/>
        <v>4.375</v>
      </c>
      <c r="G85" s="177">
        <f t="shared" si="18"/>
        <v>4.375</v>
      </c>
      <c r="H85" s="177">
        <f t="shared" si="19"/>
        <v>87.5</v>
      </c>
      <c r="I85" s="180" t="s">
        <v>760</v>
      </c>
      <c r="J85" s="196">
        <v>35000</v>
      </c>
      <c r="K85" s="194">
        <v>25</v>
      </c>
      <c r="L85" s="197"/>
    </row>
    <row r="86" ht="21" customHeight="1" spans="2:12">
      <c r="B86" s="178" t="s">
        <v>855</v>
      </c>
      <c r="C86" s="180" t="s">
        <v>793</v>
      </c>
      <c r="D86" s="177">
        <f t="shared" si="16"/>
        <v>59.5</v>
      </c>
      <c r="E86" s="177">
        <f t="shared" si="17"/>
        <v>3.5</v>
      </c>
      <c r="F86" s="177">
        <f t="shared" si="18"/>
        <v>3.5</v>
      </c>
      <c r="G86" s="177">
        <f t="shared" si="18"/>
        <v>3.5</v>
      </c>
      <c r="H86" s="177">
        <f t="shared" si="19"/>
        <v>70</v>
      </c>
      <c r="I86" s="180" t="s">
        <v>760</v>
      </c>
      <c r="J86" s="196">
        <v>35000</v>
      </c>
      <c r="K86" s="194">
        <v>20</v>
      </c>
      <c r="L86" s="197"/>
    </row>
    <row r="87" ht="21" customHeight="1" spans="2:12">
      <c r="B87" s="178" t="s">
        <v>856</v>
      </c>
      <c r="C87" s="180" t="s">
        <v>795</v>
      </c>
      <c r="D87" s="177">
        <f t="shared" si="16"/>
        <v>14.875</v>
      </c>
      <c r="E87" s="177">
        <f t="shared" si="17"/>
        <v>0.875</v>
      </c>
      <c r="F87" s="177">
        <f t="shared" si="18"/>
        <v>0.875</v>
      </c>
      <c r="G87" s="177">
        <f t="shared" si="18"/>
        <v>0.875</v>
      </c>
      <c r="H87" s="177">
        <f t="shared" si="19"/>
        <v>17.5</v>
      </c>
      <c r="I87" s="180" t="s">
        <v>767</v>
      </c>
      <c r="J87" s="196">
        <v>35000</v>
      </c>
      <c r="K87" s="194">
        <v>5</v>
      </c>
      <c r="L87" s="197"/>
    </row>
    <row r="88" ht="21" customHeight="1" spans="2:12">
      <c r="B88" s="41" t="s">
        <v>55</v>
      </c>
      <c r="C88" s="202" t="s">
        <v>857</v>
      </c>
      <c r="D88" s="39">
        <v>0</v>
      </c>
      <c r="E88" s="39"/>
      <c r="F88" s="39"/>
      <c r="G88" s="40"/>
      <c r="H88" s="40"/>
      <c r="I88" s="71"/>
      <c r="J88" s="71"/>
      <c r="K88" s="71"/>
      <c r="L88" s="68"/>
    </row>
    <row r="89" ht="21" customHeight="1" spans="2:12">
      <c r="B89" s="41"/>
      <c r="C89" s="69" t="s">
        <v>799</v>
      </c>
      <c r="D89" s="36">
        <v>365.4</v>
      </c>
      <c r="E89" s="36"/>
      <c r="F89" s="36"/>
      <c r="G89" s="37"/>
      <c r="H89" s="37">
        <v>365.4</v>
      </c>
      <c r="I89" s="69" t="s">
        <v>767</v>
      </c>
      <c r="J89" s="69">
        <v>10500</v>
      </c>
      <c r="K89" s="78">
        <v>348</v>
      </c>
      <c r="L89" s="68"/>
    </row>
    <row r="90" ht="21" customHeight="1" spans="2:12">
      <c r="B90" s="41"/>
      <c r="C90" s="69" t="s">
        <v>800</v>
      </c>
      <c r="D90" s="36">
        <f t="shared" ref="D90:D99" si="20">H90</f>
        <v>375</v>
      </c>
      <c r="E90" s="36"/>
      <c r="F90" s="36"/>
      <c r="G90" s="37"/>
      <c r="H90" s="37">
        <v>375</v>
      </c>
      <c r="I90" s="69" t="s">
        <v>767</v>
      </c>
      <c r="J90" s="69">
        <v>1500</v>
      </c>
      <c r="K90" s="78">
        <v>2500</v>
      </c>
      <c r="L90" s="68"/>
    </row>
    <row r="91" ht="21" customHeight="1" spans="2:12">
      <c r="B91" s="41"/>
      <c r="C91" s="185" t="s">
        <v>801</v>
      </c>
      <c r="D91" s="36">
        <f t="shared" si="20"/>
        <v>655.5</v>
      </c>
      <c r="E91" s="36"/>
      <c r="F91" s="36"/>
      <c r="G91" s="37"/>
      <c r="H91" s="37">
        <v>655.5</v>
      </c>
      <c r="I91" s="69" t="s">
        <v>767</v>
      </c>
      <c r="J91" s="69">
        <v>23000</v>
      </c>
      <c r="K91" s="78">
        <v>285</v>
      </c>
      <c r="L91" s="68"/>
    </row>
    <row r="92" ht="21" customHeight="1" spans="2:12">
      <c r="B92" s="203"/>
      <c r="C92" s="204" t="s">
        <v>858</v>
      </c>
      <c r="D92" s="205">
        <f t="shared" si="20"/>
        <v>195</v>
      </c>
      <c r="E92" s="205"/>
      <c r="F92" s="205"/>
      <c r="G92" s="206"/>
      <c r="H92" s="206">
        <v>195</v>
      </c>
      <c r="I92" s="204" t="s">
        <v>762</v>
      </c>
      <c r="J92" s="204">
        <v>3</v>
      </c>
      <c r="K92" s="220">
        <v>650000</v>
      </c>
      <c r="L92" s="221"/>
    </row>
    <row r="93" ht="21" customHeight="1" spans="2:12">
      <c r="B93" s="41"/>
      <c r="C93" s="69" t="s">
        <v>804</v>
      </c>
      <c r="D93" s="36">
        <f t="shared" si="20"/>
        <v>22.5</v>
      </c>
      <c r="E93" s="36"/>
      <c r="F93" s="36"/>
      <c r="G93" s="37"/>
      <c r="H93" s="37">
        <v>22.5</v>
      </c>
      <c r="I93" s="69" t="s">
        <v>805</v>
      </c>
      <c r="J93" s="69">
        <v>75</v>
      </c>
      <c r="K93" s="78">
        <v>3000</v>
      </c>
      <c r="L93" s="68"/>
    </row>
    <row r="94" ht="21" customHeight="1" spans="2:12">
      <c r="B94" s="41"/>
      <c r="C94" s="69" t="s">
        <v>806</v>
      </c>
      <c r="D94" s="36">
        <f t="shared" si="20"/>
        <v>13.5</v>
      </c>
      <c r="E94" s="36"/>
      <c r="F94" s="36"/>
      <c r="G94" s="37"/>
      <c r="H94" s="37">
        <v>13.5</v>
      </c>
      <c r="I94" s="69" t="s">
        <v>805</v>
      </c>
      <c r="J94" s="69">
        <v>90</v>
      </c>
      <c r="K94" s="78">
        <v>1500</v>
      </c>
      <c r="L94" s="68"/>
    </row>
    <row r="95" ht="21" customHeight="1" spans="2:12">
      <c r="B95" s="41"/>
      <c r="C95" s="69" t="s">
        <v>807</v>
      </c>
      <c r="D95" s="36">
        <f t="shared" si="20"/>
        <v>12.5</v>
      </c>
      <c r="E95" s="36"/>
      <c r="F95" s="36"/>
      <c r="G95" s="37"/>
      <c r="H95" s="37">
        <v>12.5</v>
      </c>
      <c r="I95" s="69" t="s">
        <v>805</v>
      </c>
      <c r="J95" s="69">
        <v>50</v>
      </c>
      <c r="K95" s="78">
        <v>2500</v>
      </c>
      <c r="L95" s="68"/>
    </row>
    <row r="96" ht="21" customHeight="1" spans="2:12">
      <c r="B96" s="41"/>
      <c r="C96" s="69" t="s">
        <v>859</v>
      </c>
      <c r="D96" s="36">
        <f t="shared" si="20"/>
        <v>225</v>
      </c>
      <c r="E96" s="36"/>
      <c r="F96" s="36"/>
      <c r="G96" s="37"/>
      <c r="H96" s="37">
        <v>225</v>
      </c>
      <c r="I96" s="69" t="s">
        <v>860</v>
      </c>
      <c r="J96" s="69">
        <v>1500</v>
      </c>
      <c r="K96" s="78">
        <v>1500</v>
      </c>
      <c r="L96" s="68"/>
    </row>
    <row r="97" ht="21" customHeight="1" spans="2:12">
      <c r="B97" s="41"/>
      <c r="C97" s="69" t="s">
        <v>809</v>
      </c>
      <c r="D97" s="36">
        <f t="shared" si="20"/>
        <v>77</v>
      </c>
      <c r="E97" s="36"/>
      <c r="F97" s="36"/>
      <c r="G97" s="37"/>
      <c r="H97" s="37">
        <v>77</v>
      </c>
      <c r="I97" s="69" t="s">
        <v>755</v>
      </c>
      <c r="J97" s="69">
        <v>7</v>
      </c>
      <c r="K97" s="78">
        <v>110000</v>
      </c>
      <c r="L97" s="68"/>
    </row>
    <row r="98" ht="21" customHeight="1" spans="2:12">
      <c r="B98" s="41"/>
      <c r="C98" s="69" t="s">
        <v>810</v>
      </c>
      <c r="D98" s="36">
        <f t="shared" si="20"/>
        <v>105</v>
      </c>
      <c r="E98" s="36"/>
      <c r="F98" s="36"/>
      <c r="G98" s="37"/>
      <c r="H98" s="37">
        <v>105</v>
      </c>
      <c r="I98" s="69" t="s">
        <v>813</v>
      </c>
      <c r="J98" s="69">
        <v>35000</v>
      </c>
      <c r="K98" s="78">
        <v>30</v>
      </c>
      <c r="L98" s="68"/>
    </row>
    <row r="99" ht="21" customHeight="1" spans="2:12">
      <c r="B99" s="41"/>
      <c r="C99" s="69" t="s">
        <v>812</v>
      </c>
      <c r="D99" s="36">
        <f t="shared" si="20"/>
        <v>87.5</v>
      </c>
      <c r="E99" s="36"/>
      <c r="F99" s="36"/>
      <c r="G99" s="37"/>
      <c r="H99" s="37">
        <v>87.5</v>
      </c>
      <c r="I99" s="69" t="s">
        <v>813</v>
      </c>
      <c r="J99" s="69">
        <v>35000</v>
      </c>
      <c r="K99" s="78">
        <v>25</v>
      </c>
      <c r="L99" s="68"/>
    </row>
    <row r="100" ht="21" customHeight="1" spans="2:12">
      <c r="B100" s="41" t="s">
        <v>59</v>
      </c>
      <c r="C100" s="202" t="s">
        <v>861</v>
      </c>
      <c r="D100" s="39"/>
      <c r="E100" s="39"/>
      <c r="F100" s="39"/>
      <c r="G100" s="40"/>
      <c r="H100" s="40">
        <v>0</v>
      </c>
      <c r="I100" s="71"/>
      <c r="J100" s="71"/>
      <c r="K100" s="71"/>
      <c r="L100" s="68"/>
    </row>
    <row r="101" ht="21" customHeight="1" spans="2:12">
      <c r="B101" s="41"/>
      <c r="C101" s="71" t="s">
        <v>862</v>
      </c>
      <c r="D101" s="39">
        <v>160</v>
      </c>
      <c r="E101" s="39"/>
      <c r="F101" s="39"/>
      <c r="G101" s="40"/>
      <c r="H101" s="40">
        <v>160</v>
      </c>
      <c r="I101" s="71" t="s">
        <v>863</v>
      </c>
      <c r="J101" s="71">
        <v>2</v>
      </c>
      <c r="K101" s="71">
        <v>800000</v>
      </c>
      <c r="L101" s="68"/>
    </row>
    <row r="102" ht="21" customHeight="1" spans="2:12">
      <c r="B102" s="41"/>
      <c r="C102" s="71" t="s">
        <v>864</v>
      </c>
      <c r="D102" s="39">
        <v>30</v>
      </c>
      <c r="E102" s="39"/>
      <c r="F102" s="39"/>
      <c r="G102" s="40"/>
      <c r="H102" s="40">
        <v>30</v>
      </c>
      <c r="I102" s="71" t="s">
        <v>863</v>
      </c>
      <c r="J102" s="71">
        <v>2</v>
      </c>
      <c r="K102" s="71">
        <v>150000</v>
      </c>
      <c r="L102" s="68"/>
    </row>
    <row r="103" ht="21" customHeight="1" spans="2:12">
      <c r="B103" s="41"/>
      <c r="C103" s="71" t="s">
        <v>865</v>
      </c>
      <c r="D103" s="39">
        <v>12.5</v>
      </c>
      <c r="E103" s="39"/>
      <c r="F103" s="39"/>
      <c r="G103" s="40"/>
      <c r="H103" s="40">
        <v>12.5</v>
      </c>
      <c r="I103" s="71" t="s">
        <v>863</v>
      </c>
      <c r="J103" s="71">
        <v>5</v>
      </c>
      <c r="K103" s="71">
        <v>25000</v>
      </c>
      <c r="L103" s="68"/>
    </row>
    <row r="104" ht="21" customHeight="1" spans="2:12">
      <c r="B104" s="41"/>
      <c r="C104" s="71" t="s">
        <v>866</v>
      </c>
      <c r="D104" s="39">
        <v>175</v>
      </c>
      <c r="E104" s="39"/>
      <c r="F104" s="39"/>
      <c r="G104" s="40"/>
      <c r="H104" s="40">
        <v>175</v>
      </c>
      <c r="I104" s="71" t="s">
        <v>820</v>
      </c>
      <c r="J104" s="71">
        <v>7</v>
      </c>
      <c r="K104" s="71">
        <v>250000</v>
      </c>
      <c r="L104" s="68"/>
    </row>
    <row r="105" ht="21" customHeight="1" spans="2:12">
      <c r="B105" s="41"/>
      <c r="C105" s="71" t="s">
        <v>867</v>
      </c>
      <c r="D105" s="39">
        <v>36</v>
      </c>
      <c r="E105" s="39"/>
      <c r="F105" s="39"/>
      <c r="G105" s="40"/>
      <c r="H105" s="40">
        <v>36</v>
      </c>
      <c r="I105" s="71" t="s">
        <v>820</v>
      </c>
      <c r="J105" s="71">
        <v>2</v>
      </c>
      <c r="K105" s="71">
        <v>180000</v>
      </c>
      <c r="L105" s="68"/>
    </row>
    <row r="106" ht="21" customHeight="1" spans="2:12">
      <c r="B106" s="41"/>
      <c r="C106" s="71" t="s">
        <v>868</v>
      </c>
      <c r="D106" s="39">
        <v>12</v>
      </c>
      <c r="E106" s="39"/>
      <c r="F106" s="39"/>
      <c r="G106" s="40"/>
      <c r="H106" s="40">
        <v>12</v>
      </c>
      <c r="I106" s="71" t="s">
        <v>820</v>
      </c>
      <c r="J106" s="71">
        <v>2</v>
      </c>
      <c r="K106" s="71">
        <v>60000</v>
      </c>
      <c r="L106" s="68"/>
    </row>
    <row r="107" ht="21" customHeight="1" spans="2:12">
      <c r="B107" s="41"/>
      <c r="C107" s="71" t="s">
        <v>869</v>
      </c>
      <c r="D107" s="39">
        <v>44.7</v>
      </c>
      <c r="E107" s="39"/>
      <c r="F107" s="39"/>
      <c r="G107" s="40"/>
      <c r="H107" s="40">
        <v>44.7</v>
      </c>
      <c r="I107" s="71" t="s">
        <v>26</v>
      </c>
      <c r="J107" s="71">
        <v>149</v>
      </c>
      <c r="K107" s="71">
        <v>3000</v>
      </c>
      <c r="L107" s="68"/>
    </row>
    <row r="108" ht="21" customHeight="1" spans="2:12">
      <c r="B108" s="41"/>
      <c r="C108" s="71" t="s">
        <v>870</v>
      </c>
      <c r="D108" s="39">
        <v>0.2</v>
      </c>
      <c r="E108" s="39"/>
      <c r="F108" s="39"/>
      <c r="G108" s="40"/>
      <c r="H108" s="40">
        <v>0.2</v>
      </c>
      <c r="I108" s="71" t="s">
        <v>314</v>
      </c>
      <c r="J108" s="71">
        <v>1</v>
      </c>
      <c r="K108" s="71">
        <v>2000</v>
      </c>
      <c r="L108" s="68"/>
    </row>
    <row r="109" ht="21" customHeight="1" spans="2:12">
      <c r="B109" s="41"/>
      <c r="C109" s="71" t="s">
        <v>871</v>
      </c>
      <c r="D109" s="39">
        <v>200</v>
      </c>
      <c r="E109" s="39"/>
      <c r="F109" s="39"/>
      <c r="G109" s="40"/>
      <c r="H109" s="40">
        <v>200</v>
      </c>
      <c r="I109" s="71" t="s">
        <v>314</v>
      </c>
      <c r="J109" s="71">
        <v>10</v>
      </c>
      <c r="K109" s="71">
        <v>200000</v>
      </c>
      <c r="L109" s="68"/>
    </row>
    <row r="110" ht="21" customHeight="1" spans="2:12">
      <c r="B110" s="41"/>
      <c r="C110" s="71" t="s">
        <v>872</v>
      </c>
      <c r="D110" s="39">
        <v>21</v>
      </c>
      <c r="E110" s="39"/>
      <c r="F110" s="39"/>
      <c r="G110" s="40"/>
      <c r="H110" s="40">
        <v>21</v>
      </c>
      <c r="I110" s="71" t="s">
        <v>820</v>
      </c>
      <c r="J110" s="71">
        <v>7</v>
      </c>
      <c r="K110" s="71">
        <v>30000</v>
      </c>
      <c r="L110" s="68"/>
    </row>
    <row r="111" ht="21" customHeight="1" spans="2:12">
      <c r="B111" s="41"/>
      <c r="C111" s="71" t="s">
        <v>873</v>
      </c>
      <c r="D111" s="39">
        <v>42</v>
      </c>
      <c r="E111" s="39"/>
      <c r="F111" s="39"/>
      <c r="G111" s="40"/>
      <c r="H111" s="40">
        <v>42</v>
      </c>
      <c r="I111" s="71" t="s">
        <v>26</v>
      </c>
      <c r="J111" s="71">
        <v>140</v>
      </c>
      <c r="K111" s="71">
        <v>3000</v>
      </c>
      <c r="L111" s="68"/>
    </row>
    <row r="112" ht="21" customHeight="1" spans="2:12">
      <c r="B112" s="41"/>
      <c r="C112" s="71" t="s">
        <v>874</v>
      </c>
      <c r="D112" s="39">
        <v>15</v>
      </c>
      <c r="E112" s="39"/>
      <c r="F112" s="39"/>
      <c r="G112" s="40"/>
      <c r="H112" s="40">
        <v>15</v>
      </c>
      <c r="I112" s="71" t="s">
        <v>863</v>
      </c>
      <c r="J112" s="71">
        <v>1</v>
      </c>
      <c r="K112" s="71">
        <v>150000</v>
      </c>
      <c r="L112" s="68"/>
    </row>
    <row r="113" ht="21" customHeight="1" spans="2:12">
      <c r="B113" s="41"/>
      <c r="C113" s="71"/>
      <c r="D113" s="39"/>
      <c r="E113" s="39"/>
      <c r="F113" s="39"/>
      <c r="G113" s="40"/>
      <c r="H113" s="40"/>
      <c r="I113" s="71"/>
      <c r="J113" s="71"/>
      <c r="K113" s="71"/>
      <c r="L113" s="68"/>
    </row>
    <row r="114" ht="21" customHeight="1" spans="2:12">
      <c r="B114" s="41"/>
      <c r="C114" s="71"/>
      <c r="D114" s="39"/>
      <c r="E114" s="39"/>
      <c r="F114" s="39"/>
      <c r="G114" s="40"/>
      <c r="H114" s="40"/>
      <c r="I114" s="71"/>
      <c r="J114" s="71"/>
      <c r="K114" s="71"/>
      <c r="L114" s="68"/>
    </row>
    <row r="115" s="169" customFormat="1" ht="21" customHeight="1" spans="2:12">
      <c r="B115" s="207" t="s">
        <v>875</v>
      </c>
      <c r="C115" s="208" t="s">
        <v>876</v>
      </c>
      <c r="D115" s="209"/>
      <c r="E115" s="209"/>
      <c r="F115" s="209"/>
      <c r="G115" s="209"/>
      <c r="H115" s="209"/>
      <c r="I115" s="222"/>
      <c r="J115" s="222"/>
      <c r="K115" s="223"/>
      <c r="L115" s="224"/>
    </row>
    <row r="116" s="169" customFormat="1" ht="21" customHeight="1" spans="2:12">
      <c r="B116" s="210" t="s">
        <v>18</v>
      </c>
      <c r="C116" s="211" t="s">
        <v>877</v>
      </c>
      <c r="D116" s="212"/>
      <c r="E116" s="212"/>
      <c r="F116" s="212"/>
      <c r="G116" s="213"/>
      <c r="H116" s="213"/>
      <c r="I116" s="225"/>
      <c r="J116" s="212"/>
      <c r="K116" s="226"/>
      <c r="L116" s="227"/>
    </row>
    <row r="117" s="169" customFormat="1" ht="21" customHeight="1" spans="2:12">
      <c r="B117" s="210"/>
      <c r="C117" s="214" t="s">
        <v>878</v>
      </c>
      <c r="D117" s="212">
        <f>J117*K117/10000</f>
        <v>62.5282</v>
      </c>
      <c r="E117" s="212"/>
      <c r="F117" s="212"/>
      <c r="G117" s="213"/>
      <c r="H117" s="213">
        <f>SUM(D117:G117)</f>
        <v>62.5282</v>
      </c>
      <c r="I117" s="225" t="s">
        <v>29</v>
      </c>
      <c r="J117" s="225">
        <v>757</v>
      </c>
      <c r="K117" s="228">
        <v>826</v>
      </c>
      <c r="L117" s="227"/>
    </row>
    <row r="118" s="169" customFormat="1" ht="21" customHeight="1" spans="2:12">
      <c r="B118" s="210" t="s">
        <v>40</v>
      </c>
      <c r="C118" s="208" t="s">
        <v>879</v>
      </c>
      <c r="D118" s="212">
        <v>0</v>
      </c>
      <c r="E118" s="212"/>
      <c r="F118" s="212"/>
      <c r="G118" s="213"/>
      <c r="H118" s="213">
        <v>0</v>
      </c>
      <c r="I118" s="225"/>
      <c r="J118" s="225"/>
      <c r="K118" s="228"/>
      <c r="L118" s="224"/>
    </row>
    <row r="119" s="169" customFormat="1" ht="21" customHeight="1" spans="2:12">
      <c r="B119" s="210"/>
      <c r="C119" s="215" t="s">
        <v>880</v>
      </c>
      <c r="D119" s="212">
        <f>J119*K119/10000</f>
        <v>372</v>
      </c>
      <c r="E119" s="212"/>
      <c r="F119" s="212"/>
      <c r="G119" s="213"/>
      <c r="H119" s="213">
        <f>SUM(D119:G119)</f>
        <v>372</v>
      </c>
      <c r="I119" s="225" t="s">
        <v>760</v>
      </c>
      <c r="J119" s="225">
        <v>124000</v>
      </c>
      <c r="K119" s="228">
        <v>30</v>
      </c>
      <c r="L119" s="227"/>
    </row>
    <row r="120" s="169" customFormat="1" ht="21" customHeight="1" spans="2:12">
      <c r="B120" s="210"/>
      <c r="C120" s="215" t="s">
        <v>881</v>
      </c>
      <c r="D120" s="212">
        <f>J120*K120/10000</f>
        <v>1209</v>
      </c>
      <c r="E120" s="212"/>
      <c r="F120" s="212"/>
      <c r="G120" s="213"/>
      <c r="H120" s="213">
        <f>SUM(D120:G120)</f>
        <v>1209</v>
      </c>
      <c r="I120" s="225" t="s">
        <v>760</v>
      </c>
      <c r="J120" s="225">
        <v>93000</v>
      </c>
      <c r="K120" s="228">
        <v>130</v>
      </c>
      <c r="L120" s="227"/>
    </row>
    <row r="121" s="169" customFormat="1" ht="21" customHeight="1" spans="2:12">
      <c r="B121" s="210"/>
      <c r="C121" s="216" t="s">
        <v>882</v>
      </c>
      <c r="D121" s="212">
        <f>J121*K121/10000</f>
        <v>22.77794</v>
      </c>
      <c r="E121" s="212"/>
      <c r="F121" s="212"/>
      <c r="G121" s="213"/>
      <c r="H121" s="213">
        <f>SUM(D121:G121)</f>
        <v>22.77794</v>
      </c>
      <c r="I121" s="229" t="s">
        <v>863</v>
      </c>
      <c r="J121" s="225">
        <v>2</v>
      </c>
      <c r="K121" s="228">
        <v>113889.7</v>
      </c>
      <c r="L121" s="227"/>
    </row>
    <row r="122" s="169" customFormat="1" ht="21" customHeight="1" spans="2:14">
      <c r="B122" s="210"/>
      <c r="C122" s="217" t="s">
        <v>883</v>
      </c>
      <c r="D122" s="212">
        <f>J122*K122/10000</f>
        <v>35</v>
      </c>
      <c r="E122" s="212"/>
      <c r="F122" s="212"/>
      <c r="G122" s="213"/>
      <c r="H122" s="213">
        <f>SUM(D122:G122)</f>
        <v>35</v>
      </c>
      <c r="I122" s="229" t="s">
        <v>863</v>
      </c>
      <c r="J122" s="225">
        <v>1</v>
      </c>
      <c r="K122" s="228">
        <v>350000</v>
      </c>
      <c r="L122" s="227"/>
      <c r="M122" s="230" t="s">
        <v>884</v>
      </c>
      <c r="N122" s="230"/>
    </row>
    <row r="123" s="169" customFormat="1" ht="21" customHeight="1" spans="2:12">
      <c r="B123" s="210" t="s">
        <v>45</v>
      </c>
      <c r="C123" s="208" t="s">
        <v>885</v>
      </c>
      <c r="D123" s="212">
        <v>0</v>
      </c>
      <c r="E123" s="212"/>
      <c r="F123" s="212"/>
      <c r="G123" s="213"/>
      <c r="H123" s="213">
        <v>0</v>
      </c>
      <c r="I123" s="225"/>
      <c r="J123" s="231"/>
      <c r="K123" s="228"/>
      <c r="L123" s="227"/>
    </row>
    <row r="124" s="169" customFormat="1" ht="21" customHeight="1" spans="2:12">
      <c r="B124" s="210"/>
      <c r="C124" s="218" t="s">
        <v>886</v>
      </c>
      <c r="D124" s="212">
        <f>J124*K124/10000</f>
        <v>1155</v>
      </c>
      <c r="E124" s="212"/>
      <c r="F124" s="212"/>
      <c r="G124" s="213"/>
      <c r="H124" s="213">
        <f>SUM(D124:G124)</f>
        <v>1155</v>
      </c>
      <c r="I124" s="225" t="s">
        <v>760</v>
      </c>
      <c r="J124" s="225">
        <v>57750</v>
      </c>
      <c r="K124" s="228">
        <v>200</v>
      </c>
      <c r="L124" s="227"/>
    </row>
    <row r="125" s="169" customFormat="1" ht="21" customHeight="1" spans="2:12">
      <c r="B125" s="210" t="s">
        <v>47</v>
      </c>
      <c r="C125" s="208" t="s">
        <v>887</v>
      </c>
      <c r="D125" s="212">
        <v>0</v>
      </c>
      <c r="E125" s="212"/>
      <c r="F125" s="212"/>
      <c r="G125" s="213"/>
      <c r="H125" s="213">
        <v>0</v>
      </c>
      <c r="I125" s="225"/>
      <c r="J125" s="231"/>
      <c r="K125" s="226"/>
      <c r="L125" s="227"/>
    </row>
    <row r="126" s="169" customFormat="1" ht="21" customHeight="1" spans="2:12">
      <c r="B126" s="210"/>
      <c r="C126" s="215" t="s">
        <v>888</v>
      </c>
      <c r="D126" s="212">
        <f>J126*K126/10000</f>
        <v>2046</v>
      </c>
      <c r="E126" s="212"/>
      <c r="F126" s="212"/>
      <c r="G126" s="213"/>
      <c r="H126" s="213">
        <f>SUM(D126:G126)</f>
        <v>2046</v>
      </c>
      <c r="I126" s="225" t="s">
        <v>889</v>
      </c>
      <c r="J126" s="225">
        <v>62000</v>
      </c>
      <c r="K126" s="228">
        <v>330</v>
      </c>
      <c r="L126" s="227"/>
    </row>
    <row r="127" s="169" customFormat="1" ht="21" customHeight="1" spans="2:12">
      <c r="B127" s="210"/>
      <c r="C127" s="215" t="s">
        <v>890</v>
      </c>
      <c r="D127" s="212">
        <f>J127*K127/10000</f>
        <v>260.4</v>
      </c>
      <c r="E127" s="212"/>
      <c r="F127" s="212"/>
      <c r="G127" s="213"/>
      <c r="H127" s="213">
        <f>SUM(D127:G127)</f>
        <v>260.4</v>
      </c>
      <c r="I127" s="225" t="s">
        <v>889</v>
      </c>
      <c r="J127" s="225">
        <v>37200</v>
      </c>
      <c r="K127" s="228">
        <v>70</v>
      </c>
      <c r="L127" s="227"/>
    </row>
    <row r="128" s="169" customFormat="1" ht="21" customHeight="1" spans="2:12">
      <c r="B128" s="210"/>
      <c r="C128" s="215" t="s">
        <v>891</v>
      </c>
      <c r="D128" s="212">
        <f>J128*K128/10000</f>
        <v>10.125</v>
      </c>
      <c r="E128" s="212"/>
      <c r="F128" s="212"/>
      <c r="G128" s="213"/>
      <c r="H128" s="213">
        <f>SUM(D128:G128)</f>
        <v>10.125</v>
      </c>
      <c r="I128" s="225" t="s">
        <v>760</v>
      </c>
      <c r="J128" s="225">
        <v>2250</v>
      </c>
      <c r="K128" s="228">
        <v>45</v>
      </c>
      <c r="L128" s="227"/>
    </row>
    <row r="129" s="169" customFormat="1" ht="21" customHeight="1" spans="2:12">
      <c r="B129" s="210" t="s">
        <v>51</v>
      </c>
      <c r="C129" s="208" t="s">
        <v>892</v>
      </c>
      <c r="D129" s="212">
        <v>0</v>
      </c>
      <c r="E129" s="212"/>
      <c r="F129" s="212"/>
      <c r="G129" s="213"/>
      <c r="H129" s="213">
        <v>0</v>
      </c>
      <c r="I129" s="225"/>
      <c r="J129" s="212"/>
      <c r="K129" s="226"/>
      <c r="L129" s="227"/>
    </row>
    <row r="130" s="169" customFormat="1" ht="21" customHeight="1" spans="2:12">
      <c r="B130" s="210"/>
      <c r="C130" s="218" t="s">
        <v>893</v>
      </c>
      <c r="D130" s="212">
        <f>J130*K130/10000</f>
        <v>980</v>
      </c>
      <c r="E130" s="212"/>
      <c r="F130" s="212"/>
      <c r="G130" s="213"/>
      <c r="H130" s="213">
        <f>SUM(D130:G130)</f>
        <v>980</v>
      </c>
      <c r="I130" s="229" t="s">
        <v>863</v>
      </c>
      <c r="J130" s="225">
        <v>10</v>
      </c>
      <c r="K130" s="228">
        <v>980000</v>
      </c>
      <c r="L130" s="227"/>
    </row>
    <row r="131" s="169" customFormat="1" ht="21" customHeight="1" spans="2:12">
      <c r="B131" s="210" t="s">
        <v>53</v>
      </c>
      <c r="C131" s="208" t="s">
        <v>894</v>
      </c>
      <c r="D131" s="212">
        <v>0</v>
      </c>
      <c r="E131" s="212"/>
      <c r="F131" s="212"/>
      <c r="G131" s="213"/>
      <c r="H131" s="213">
        <v>0</v>
      </c>
      <c r="I131" s="225"/>
      <c r="J131" s="231"/>
      <c r="K131" s="226"/>
      <c r="L131" s="227"/>
    </row>
    <row r="132" s="169" customFormat="1" ht="21" customHeight="1" spans="2:12">
      <c r="B132" s="210"/>
      <c r="C132" s="215" t="s">
        <v>895</v>
      </c>
      <c r="D132" s="212">
        <f>J132*K132/10000</f>
        <v>450</v>
      </c>
      <c r="E132" s="212"/>
      <c r="F132" s="212"/>
      <c r="G132" s="213"/>
      <c r="H132" s="213">
        <f>SUM(D132:G132)</f>
        <v>450</v>
      </c>
      <c r="I132" s="225" t="s">
        <v>889</v>
      </c>
      <c r="J132" s="225">
        <v>15000</v>
      </c>
      <c r="K132" s="228">
        <v>300</v>
      </c>
      <c r="L132" s="227"/>
    </row>
    <row r="133" s="169" customFormat="1" ht="21" customHeight="1" spans="2:12">
      <c r="B133" s="210"/>
      <c r="C133" s="215" t="s">
        <v>896</v>
      </c>
      <c r="D133" s="212">
        <f>J133*K133/10000</f>
        <v>300</v>
      </c>
      <c r="E133" s="212"/>
      <c r="F133" s="212"/>
      <c r="G133" s="213"/>
      <c r="H133" s="213">
        <f>SUM(D133:G133)</f>
        <v>300</v>
      </c>
      <c r="I133" s="225" t="s">
        <v>889</v>
      </c>
      <c r="J133" s="225">
        <v>1000</v>
      </c>
      <c r="K133" s="228">
        <v>3000</v>
      </c>
      <c r="L133" s="227"/>
    </row>
    <row r="134" s="169" customFormat="1" ht="21" customHeight="1" spans="2:12">
      <c r="B134" s="210"/>
      <c r="C134" s="215" t="s">
        <v>897</v>
      </c>
      <c r="D134" s="212">
        <f t="shared" ref="D134:D137" si="21">J134*K134/10000</f>
        <v>1917.708</v>
      </c>
      <c r="E134" s="212"/>
      <c r="F134" s="212"/>
      <c r="G134" s="213"/>
      <c r="H134" s="213">
        <f t="shared" ref="H134:H137" si="22">SUM(D134:G134)</f>
        <v>1917.708</v>
      </c>
      <c r="I134" s="225" t="s">
        <v>889</v>
      </c>
      <c r="J134" s="225">
        <v>77640</v>
      </c>
      <c r="K134" s="228">
        <v>247</v>
      </c>
      <c r="L134" s="227"/>
    </row>
    <row r="135" s="169" customFormat="1" ht="21" customHeight="1" spans="2:12">
      <c r="B135" s="210"/>
      <c r="C135" s="215" t="s">
        <v>898</v>
      </c>
      <c r="D135" s="212">
        <f t="shared" si="21"/>
        <v>216</v>
      </c>
      <c r="E135" s="212"/>
      <c r="F135" s="212"/>
      <c r="G135" s="213"/>
      <c r="H135" s="213">
        <f t="shared" si="22"/>
        <v>216</v>
      </c>
      <c r="I135" s="229" t="s">
        <v>863</v>
      </c>
      <c r="J135" s="225">
        <v>4</v>
      </c>
      <c r="K135" s="228">
        <v>540000</v>
      </c>
      <c r="L135" s="227"/>
    </row>
    <row r="136" s="169" customFormat="1" ht="21" customHeight="1" spans="2:12">
      <c r="B136" s="210"/>
      <c r="C136" s="215" t="s">
        <v>899</v>
      </c>
      <c r="D136" s="212">
        <f t="shared" si="21"/>
        <v>10</v>
      </c>
      <c r="E136" s="212"/>
      <c r="F136" s="212"/>
      <c r="G136" s="213"/>
      <c r="H136" s="213">
        <f t="shared" si="22"/>
        <v>10</v>
      </c>
      <c r="I136" s="229" t="s">
        <v>26</v>
      </c>
      <c r="J136" s="225">
        <v>50</v>
      </c>
      <c r="K136" s="228">
        <v>2000</v>
      </c>
      <c r="L136" s="227"/>
    </row>
    <row r="137" s="169" customFormat="1" ht="21" customHeight="1" spans="2:12">
      <c r="B137" s="210"/>
      <c r="C137" s="215" t="s">
        <v>900</v>
      </c>
      <c r="D137" s="212">
        <f t="shared" si="21"/>
        <v>15</v>
      </c>
      <c r="E137" s="212"/>
      <c r="F137" s="212"/>
      <c r="G137" s="213"/>
      <c r="H137" s="213">
        <f t="shared" si="22"/>
        <v>15</v>
      </c>
      <c r="I137" s="229" t="s">
        <v>26</v>
      </c>
      <c r="J137" s="225">
        <v>100</v>
      </c>
      <c r="K137" s="228">
        <v>1500</v>
      </c>
      <c r="L137" s="227"/>
    </row>
    <row r="138" s="169" customFormat="1" ht="21" customHeight="1" spans="2:12">
      <c r="B138" s="210"/>
      <c r="C138" s="215" t="s">
        <v>901</v>
      </c>
      <c r="D138" s="212">
        <v>269.5</v>
      </c>
      <c r="E138" s="212"/>
      <c r="F138" s="212"/>
      <c r="G138" s="213"/>
      <c r="H138" s="213">
        <v>269.5</v>
      </c>
      <c r="I138" s="229" t="s">
        <v>314</v>
      </c>
      <c r="J138" s="225">
        <v>1</v>
      </c>
      <c r="K138" s="228"/>
      <c r="L138" s="227"/>
    </row>
    <row r="139" s="169" customFormat="1" ht="21" customHeight="1" spans="2:12">
      <c r="B139" s="210"/>
      <c r="C139" s="215" t="s">
        <v>902</v>
      </c>
      <c r="D139" s="212">
        <f>J139*K139/10000</f>
        <v>180</v>
      </c>
      <c r="E139" s="212"/>
      <c r="F139" s="212"/>
      <c r="G139" s="213"/>
      <c r="H139" s="213">
        <f>SUM(D139:G139)</f>
        <v>180</v>
      </c>
      <c r="I139" s="229" t="s">
        <v>26</v>
      </c>
      <c r="J139" s="225">
        <v>1500</v>
      </c>
      <c r="K139" s="228">
        <v>1200</v>
      </c>
      <c r="L139" s="227"/>
    </row>
    <row r="140" s="169" customFormat="1" ht="21" customHeight="1" spans="2:12">
      <c r="B140" s="210" t="s">
        <v>55</v>
      </c>
      <c r="C140" s="208" t="s">
        <v>903</v>
      </c>
      <c r="D140" s="212">
        <v>0</v>
      </c>
      <c r="E140" s="212"/>
      <c r="F140" s="212"/>
      <c r="G140" s="213"/>
      <c r="H140" s="213">
        <v>0</v>
      </c>
      <c r="I140" s="225"/>
      <c r="J140" s="212"/>
      <c r="K140" s="226"/>
      <c r="L140" s="227"/>
    </row>
    <row r="141" s="169" customFormat="1" ht="21" customHeight="1" spans="2:12">
      <c r="B141" s="210"/>
      <c r="C141" s="215" t="s">
        <v>904</v>
      </c>
      <c r="D141" s="212">
        <f t="shared" ref="D141:D152" si="23">J141*K141/10000</f>
        <v>160</v>
      </c>
      <c r="E141" s="212"/>
      <c r="F141" s="212"/>
      <c r="G141" s="213"/>
      <c r="H141" s="213">
        <f t="shared" ref="H141:H152" si="24">SUM(D141:G141)</f>
        <v>160</v>
      </c>
      <c r="I141" s="229" t="s">
        <v>863</v>
      </c>
      <c r="J141" s="225">
        <v>2</v>
      </c>
      <c r="K141" s="228">
        <v>800000</v>
      </c>
      <c r="L141" s="227"/>
    </row>
    <row r="142" s="169" customFormat="1" ht="21" customHeight="1" spans="2:12">
      <c r="B142" s="210"/>
      <c r="C142" s="215" t="s">
        <v>905</v>
      </c>
      <c r="D142" s="212">
        <f t="shared" si="23"/>
        <v>30</v>
      </c>
      <c r="E142" s="212"/>
      <c r="F142" s="212"/>
      <c r="G142" s="213"/>
      <c r="H142" s="213">
        <f t="shared" si="24"/>
        <v>30</v>
      </c>
      <c r="I142" s="229" t="s">
        <v>863</v>
      </c>
      <c r="J142" s="225">
        <v>2</v>
      </c>
      <c r="K142" s="228">
        <v>150000</v>
      </c>
      <c r="L142" s="227"/>
    </row>
    <row r="143" s="169" customFormat="1" ht="21" customHeight="1" spans="2:12">
      <c r="B143" s="210"/>
      <c r="C143" s="215" t="s">
        <v>906</v>
      </c>
      <c r="D143" s="212">
        <f t="shared" si="23"/>
        <v>100</v>
      </c>
      <c r="E143" s="212"/>
      <c r="F143" s="212"/>
      <c r="G143" s="213"/>
      <c r="H143" s="213">
        <f t="shared" si="24"/>
        <v>100</v>
      </c>
      <c r="I143" s="229" t="s">
        <v>863</v>
      </c>
      <c r="J143" s="225">
        <v>2</v>
      </c>
      <c r="K143" s="228">
        <v>500000</v>
      </c>
      <c r="L143" s="227"/>
    </row>
    <row r="144" s="169" customFormat="1" ht="21" customHeight="1" spans="2:12">
      <c r="B144" s="210"/>
      <c r="C144" s="215" t="s">
        <v>907</v>
      </c>
      <c r="D144" s="212">
        <f t="shared" si="23"/>
        <v>15</v>
      </c>
      <c r="E144" s="212"/>
      <c r="F144" s="212"/>
      <c r="G144" s="213"/>
      <c r="H144" s="213">
        <f t="shared" si="24"/>
        <v>15</v>
      </c>
      <c r="I144" s="229" t="s">
        <v>863</v>
      </c>
      <c r="J144" s="225">
        <v>6</v>
      </c>
      <c r="K144" s="228">
        <v>25000</v>
      </c>
      <c r="L144" s="227"/>
    </row>
    <row r="145" s="169" customFormat="1" ht="21" customHeight="1" spans="2:12">
      <c r="B145" s="210"/>
      <c r="C145" s="215" t="s">
        <v>908</v>
      </c>
      <c r="D145" s="212">
        <f t="shared" si="23"/>
        <v>430</v>
      </c>
      <c r="E145" s="212"/>
      <c r="F145" s="212"/>
      <c r="G145" s="213"/>
      <c r="H145" s="213">
        <f t="shared" si="24"/>
        <v>430</v>
      </c>
      <c r="I145" s="225" t="s">
        <v>820</v>
      </c>
      <c r="J145" s="225">
        <v>17.2</v>
      </c>
      <c r="K145" s="228">
        <v>250000</v>
      </c>
      <c r="L145" s="227"/>
    </row>
    <row r="146" s="169" customFormat="1" ht="21" customHeight="1" spans="2:12">
      <c r="B146" s="210"/>
      <c r="C146" s="215" t="s">
        <v>909</v>
      </c>
      <c r="D146" s="212">
        <f t="shared" si="23"/>
        <v>90</v>
      </c>
      <c r="E146" s="212"/>
      <c r="F146" s="212"/>
      <c r="G146" s="213"/>
      <c r="H146" s="213">
        <f t="shared" si="24"/>
        <v>90</v>
      </c>
      <c r="I146" s="225" t="s">
        <v>820</v>
      </c>
      <c r="J146" s="225">
        <v>5</v>
      </c>
      <c r="K146" s="225">
        <v>180000</v>
      </c>
      <c r="L146" s="227"/>
    </row>
    <row r="147" s="169" customFormat="1" ht="21" customHeight="1" spans="2:12">
      <c r="B147" s="210"/>
      <c r="C147" s="215" t="s">
        <v>910</v>
      </c>
      <c r="D147" s="212">
        <f t="shared" si="23"/>
        <v>30</v>
      </c>
      <c r="E147" s="212"/>
      <c r="F147" s="212"/>
      <c r="G147" s="213"/>
      <c r="H147" s="213">
        <f t="shared" si="24"/>
        <v>30</v>
      </c>
      <c r="I147" s="225" t="s">
        <v>820</v>
      </c>
      <c r="J147" s="225">
        <v>5</v>
      </c>
      <c r="K147" s="225">
        <v>60000</v>
      </c>
      <c r="L147" s="227"/>
    </row>
    <row r="148" s="169" customFormat="1" ht="21" customHeight="1" spans="2:12">
      <c r="B148" s="210"/>
      <c r="C148" s="215" t="s">
        <v>911</v>
      </c>
      <c r="D148" s="212">
        <f t="shared" si="23"/>
        <v>106.8</v>
      </c>
      <c r="E148" s="212"/>
      <c r="F148" s="212"/>
      <c r="G148" s="213"/>
      <c r="H148" s="213">
        <f t="shared" si="24"/>
        <v>106.8</v>
      </c>
      <c r="I148" s="229" t="s">
        <v>26</v>
      </c>
      <c r="J148" s="225">
        <v>356</v>
      </c>
      <c r="K148" s="225">
        <v>3000</v>
      </c>
      <c r="L148" s="227"/>
    </row>
    <row r="149" s="169" customFormat="1" ht="21" customHeight="1" spans="2:12">
      <c r="B149" s="210"/>
      <c r="C149" s="215" t="s">
        <v>912</v>
      </c>
      <c r="D149" s="212">
        <f t="shared" si="23"/>
        <v>0.2</v>
      </c>
      <c r="E149" s="212"/>
      <c r="F149" s="212"/>
      <c r="G149" s="213"/>
      <c r="H149" s="213">
        <f t="shared" si="24"/>
        <v>0.2</v>
      </c>
      <c r="I149" s="229" t="s">
        <v>314</v>
      </c>
      <c r="J149" s="225">
        <v>1</v>
      </c>
      <c r="K149" s="225">
        <v>2000</v>
      </c>
      <c r="L149" s="227"/>
    </row>
    <row r="150" s="169" customFormat="1" ht="21" customHeight="1" spans="2:12">
      <c r="B150" s="210"/>
      <c r="C150" s="215" t="s">
        <v>913</v>
      </c>
      <c r="D150" s="212">
        <f t="shared" si="23"/>
        <v>260</v>
      </c>
      <c r="E150" s="212"/>
      <c r="F150" s="212"/>
      <c r="G150" s="213"/>
      <c r="H150" s="213">
        <f t="shared" si="24"/>
        <v>260</v>
      </c>
      <c r="I150" s="229" t="s">
        <v>314</v>
      </c>
      <c r="J150" s="225">
        <v>13</v>
      </c>
      <c r="K150" s="225">
        <v>200000</v>
      </c>
      <c r="L150" s="227"/>
    </row>
    <row r="151" s="169" customFormat="1" ht="21" customHeight="1" spans="2:12">
      <c r="B151" s="210"/>
      <c r="C151" s="215" t="s">
        <v>914</v>
      </c>
      <c r="D151" s="212">
        <f t="shared" si="23"/>
        <v>51.6</v>
      </c>
      <c r="E151" s="212"/>
      <c r="F151" s="212"/>
      <c r="G151" s="213"/>
      <c r="H151" s="213">
        <f t="shared" si="24"/>
        <v>51.6</v>
      </c>
      <c r="I151" s="225" t="s">
        <v>820</v>
      </c>
      <c r="J151" s="225">
        <v>17.2</v>
      </c>
      <c r="K151" s="225">
        <v>30000</v>
      </c>
      <c r="L151" s="227"/>
    </row>
    <row r="152" s="169" customFormat="1" ht="21" customHeight="1" spans="2:12">
      <c r="B152" s="210"/>
      <c r="C152" s="215" t="s">
        <v>915</v>
      </c>
      <c r="D152" s="212">
        <f t="shared" si="23"/>
        <v>103.2</v>
      </c>
      <c r="E152" s="212"/>
      <c r="F152" s="212"/>
      <c r="G152" s="213"/>
      <c r="H152" s="213">
        <f t="shared" si="24"/>
        <v>103.2</v>
      </c>
      <c r="I152" s="229" t="s">
        <v>26</v>
      </c>
      <c r="J152" s="225">
        <v>344</v>
      </c>
      <c r="K152" s="225">
        <v>3000</v>
      </c>
      <c r="L152" s="227"/>
    </row>
    <row r="153" s="169" customFormat="1" ht="21" customHeight="1" spans="2:12">
      <c r="B153" s="210"/>
      <c r="C153" s="215" t="s">
        <v>916</v>
      </c>
      <c r="D153" s="212">
        <v>400</v>
      </c>
      <c r="E153" s="212"/>
      <c r="F153" s="212"/>
      <c r="G153" s="213"/>
      <c r="H153" s="213">
        <v>400</v>
      </c>
      <c r="I153" s="229" t="s">
        <v>314</v>
      </c>
      <c r="J153" s="225">
        <v>1</v>
      </c>
      <c r="K153" s="225"/>
      <c r="L153" s="227"/>
    </row>
    <row r="154" s="169" customFormat="1" ht="21" customHeight="1" spans="2:12">
      <c r="B154" s="210"/>
      <c r="C154" s="215" t="s">
        <v>917</v>
      </c>
      <c r="D154" s="212">
        <v>530</v>
      </c>
      <c r="E154" s="212"/>
      <c r="F154" s="212"/>
      <c r="G154" s="213"/>
      <c r="H154" s="213">
        <v>530</v>
      </c>
      <c r="I154" s="229" t="s">
        <v>863</v>
      </c>
      <c r="J154" s="225">
        <v>1</v>
      </c>
      <c r="K154" s="225"/>
      <c r="L154" s="227"/>
    </row>
    <row r="155" s="169" customFormat="1" ht="21" customHeight="1" spans="2:12">
      <c r="B155" s="210" t="s">
        <v>59</v>
      </c>
      <c r="C155" s="208" t="s">
        <v>918</v>
      </c>
      <c r="D155" s="212"/>
      <c r="E155" s="212"/>
      <c r="F155" s="212"/>
      <c r="G155" s="213"/>
      <c r="H155" s="213"/>
      <c r="I155" s="229"/>
      <c r="J155" s="225"/>
      <c r="K155" s="225"/>
      <c r="L155" s="227"/>
    </row>
    <row r="156" s="169" customFormat="1" ht="21" customHeight="1" spans="2:14">
      <c r="B156" s="210"/>
      <c r="C156" s="215" t="s">
        <v>919</v>
      </c>
      <c r="D156" s="212">
        <f>J156*K156/10000</f>
        <v>3</v>
      </c>
      <c r="E156" s="212"/>
      <c r="F156" s="212"/>
      <c r="G156" s="213"/>
      <c r="H156" s="213">
        <f>SUM(D156:G156)</f>
        <v>3</v>
      </c>
      <c r="I156" s="229" t="s">
        <v>314</v>
      </c>
      <c r="J156" s="225">
        <v>1</v>
      </c>
      <c r="K156" s="225">
        <v>30000</v>
      </c>
      <c r="L156" s="235"/>
      <c r="M156" s="230" t="s">
        <v>920</v>
      </c>
      <c r="N156" s="230"/>
    </row>
    <row r="157" s="169" customFormat="1" ht="21" customHeight="1" spans="2:14">
      <c r="B157" s="210"/>
      <c r="C157" s="215" t="s">
        <v>921</v>
      </c>
      <c r="D157" s="212">
        <f>J157*K157/10000</f>
        <v>23.65</v>
      </c>
      <c r="E157" s="212"/>
      <c r="F157" s="212"/>
      <c r="G157" s="213"/>
      <c r="H157" s="213">
        <f>SUM(D157:G157)</f>
        <v>23.65</v>
      </c>
      <c r="I157" s="229" t="s">
        <v>29</v>
      </c>
      <c r="J157" s="225">
        <v>1100</v>
      </c>
      <c r="K157" s="225">
        <v>215</v>
      </c>
      <c r="L157" s="227"/>
      <c r="M157" s="230" t="s">
        <v>922</v>
      </c>
      <c r="N157" s="230"/>
    </row>
    <row r="158" s="169" customFormat="1" ht="21" customHeight="1" spans="2:12">
      <c r="B158" s="207" t="s">
        <v>923</v>
      </c>
      <c r="C158" s="232" t="s">
        <v>924</v>
      </c>
      <c r="D158" s="212"/>
      <c r="E158" s="209"/>
      <c r="F158" s="209"/>
      <c r="G158" s="209"/>
      <c r="H158" s="213">
        <v>0</v>
      </c>
      <c r="I158" s="236"/>
      <c r="J158" s="237"/>
      <c r="K158" s="236"/>
      <c r="L158" s="227"/>
    </row>
    <row r="159" s="169" customFormat="1" ht="21" customHeight="1" spans="2:12">
      <c r="B159" s="210" t="s">
        <v>18</v>
      </c>
      <c r="C159" s="233" t="s">
        <v>925</v>
      </c>
      <c r="D159" s="212"/>
      <c r="E159" s="212"/>
      <c r="F159" s="212"/>
      <c r="G159" s="213"/>
      <c r="H159" s="213">
        <v>0</v>
      </c>
      <c r="I159" s="225"/>
      <c r="J159" s="212"/>
      <c r="K159" s="238"/>
      <c r="L159" s="227"/>
    </row>
    <row r="160" s="169" customFormat="1" ht="21" customHeight="1" spans="2:12">
      <c r="B160" s="210"/>
      <c r="C160" s="234" t="s">
        <v>878</v>
      </c>
      <c r="D160" s="212">
        <f t="shared" ref="D160:D164" si="25">J160*K160/10000</f>
        <v>165.2</v>
      </c>
      <c r="E160" s="212"/>
      <c r="F160" s="212"/>
      <c r="G160" s="213"/>
      <c r="H160" s="213">
        <f t="shared" ref="H160:H164" si="26">SUM(D160:G160)</f>
        <v>165.2</v>
      </c>
      <c r="I160" s="225" t="s">
        <v>29</v>
      </c>
      <c r="J160" s="225">
        <v>2000</v>
      </c>
      <c r="K160" s="225">
        <v>826</v>
      </c>
      <c r="L160" s="227"/>
    </row>
    <row r="161" s="169" customFormat="1" ht="21" customHeight="1" spans="2:12">
      <c r="B161" s="210" t="s">
        <v>40</v>
      </c>
      <c r="C161" s="233" t="s">
        <v>926</v>
      </c>
      <c r="D161" s="212">
        <f t="shared" si="25"/>
        <v>0</v>
      </c>
      <c r="E161" s="212"/>
      <c r="F161" s="212"/>
      <c r="G161" s="213"/>
      <c r="H161" s="213">
        <f t="shared" si="26"/>
        <v>0</v>
      </c>
      <c r="I161" s="225"/>
      <c r="J161" s="225"/>
      <c r="K161" s="225"/>
      <c r="L161" s="227"/>
    </row>
    <row r="162" s="169" customFormat="1" ht="21" customHeight="1" spans="2:12">
      <c r="B162" s="210"/>
      <c r="C162" s="214" t="s">
        <v>927</v>
      </c>
      <c r="D162" s="212">
        <f t="shared" si="25"/>
        <v>165</v>
      </c>
      <c r="E162" s="212"/>
      <c r="F162" s="212"/>
      <c r="G162" s="213"/>
      <c r="H162" s="213">
        <f t="shared" si="26"/>
        <v>165</v>
      </c>
      <c r="I162" s="225" t="s">
        <v>760</v>
      </c>
      <c r="J162" s="225">
        <v>55000</v>
      </c>
      <c r="K162" s="225">
        <v>30</v>
      </c>
      <c r="L162" s="227"/>
    </row>
    <row r="163" s="169" customFormat="1" ht="21" customHeight="1" spans="2:12">
      <c r="B163" s="210"/>
      <c r="C163" s="214" t="s">
        <v>928</v>
      </c>
      <c r="D163" s="212">
        <f t="shared" si="25"/>
        <v>715</v>
      </c>
      <c r="E163" s="212"/>
      <c r="F163" s="212"/>
      <c r="G163" s="213"/>
      <c r="H163" s="213">
        <f t="shared" si="26"/>
        <v>715</v>
      </c>
      <c r="I163" s="225" t="s">
        <v>760</v>
      </c>
      <c r="J163" s="225">
        <v>55000</v>
      </c>
      <c r="K163" s="225">
        <v>130</v>
      </c>
      <c r="L163" s="227"/>
    </row>
    <row r="164" s="169" customFormat="1" ht="21" customHeight="1" spans="2:12">
      <c r="B164" s="210"/>
      <c r="C164" s="214" t="s">
        <v>929</v>
      </c>
      <c r="D164" s="212">
        <f t="shared" si="25"/>
        <v>53.8897</v>
      </c>
      <c r="E164" s="212"/>
      <c r="F164" s="212"/>
      <c r="G164" s="213"/>
      <c r="H164" s="213">
        <f t="shared" si="26"/>
        <v>53.8897</v>
      </c>
      <c r="I164" s="229" t="s">
        <v>863</v>
      </c>
      <c r="J164" s="225">
        <v>5</v>
      </c>
      <c r="K164" s="239">
        <v>107779.4</v>
      </c>
      <c r="L164" s="227"/>
    </row>
    <row r="165" s="169" customFormat="1" ht="21" customHeight="1" spans="2:12">
      <c r="B165" s="210" t="s">
        <v>45</v>
      </c>
      <c r="C165" s="233" t="s">
        <v>930</v>
      </c>
      <c r="D165" s="212"/>
      <c r="E165" s="212"/>
      <c r="F165" s="212"/>
      <c r="G165" s="213"/>
      <c r="H165" s="213">
        <v>0</v>
      </c>
      <c r="I165" s="225"/>
      <c r="J165" s="225"/>
      <c r="K165" s="225"/>
      <c r="L165" s="227"/>
    </row>
    <row r="166" s="169" customFormat="1" ht="21" customHeight="1" spans="2:12">
      <c r="B166" s="210"/>
      <c r="C166" s="214" t="s">
        <v>931</v>
      </c>
      <c r="D166" s="212">
        <f>J166*K166/10000</f>
        <v>105</v>
      </c>
      <c r="E166" s="212"/>
      <c r="F166" s="212"/>
      <c r="G166" s="213"/>
      <c r="H166" s="213">
        <f>SUM(D166:G166)</f>
        <v>105</v>
      </c>
      <c r="I166" s="225" t="s">
        <v>760</v>
      </c>
      <c r="J166" s="225">
        <v>5250</v>
      </c>
      <c r="K166" s="225">
        <v>200</v>
      </c>
      <c r="L166" s="227"/>
    </row>
    <row r="167" s="169" customFormat="1" ht="21" customHeight="1" spans="2:12">
      <c r="B167" s="210" t="s">
        <v>47</v>
      </c>
      <c r="C167" s="233" t="s">
        <v>932</v>
      </c>
      <c r="D167" s="212">
        <v>42.24</v>
      </c>
      <c r="E167" s="212"/>
      <c r="F167" s="212"/>
      <c r="G167" s="213"/>
      <c r="H167" s="213">
        <v>42.24</v>
      </c>
      <c r="I167" s="225" t="s">
        <v>841</v>
      </c>
      <c r="J167" s="225">
        <v>1</v>
      </c>
      <c r="K167" s="225"/>
      <c r="L167" s="227"/>
    </row>
    <row r="168" s="169" customFormat="1" ht="21" customHeight="1" spans="2:12">
      <c r="B168" s="210" t="s">
        <v>51</v>
      </c>
      <c r="C168" s="233" t="s">
        <v>933</v>
      </c>
      <c r="D168" s="212">
        <v>52.8</v>
      </c>
      <c r="E168" s="212"/>
      <c r="F168" s="212"/>
      <c r="G168" s="213"/>
      <c r="H168" s="213">
        <v>52.8</v>
      </c>
      <c r="I168" s="225" t="s">
        <v>841</v>
      </c>
      <c r="J168" s="225">
        <v>1</v>
      </c>
      <c r="K168" s="225"/>
      <c r="L168" s="227"/>
    </row>
    <row r="169" s="169" customFormat="1" ht="21" customHeight="1" spans="2:12">
      <c r="B169" s="210" t="s">
        <v>53</v>
      </c>
      <c r="C169" s="233" t="s">
        <v>934</v>
      </c>
      <c r="D169" s="212"/>
      <c r="E169" s="212"/>
      <c r="F169" s="212"/>
      <c r="G169" s="213"/>
      <c r="H169" s="213">
        <v>0</v>
      </c>
      <c r="I169" s="225"/>
      <c r="J169" s="225"/>
      <c r="K169" s="225"/>
      <c r="L169" s="227"/>
    </row>
    <row r="170" s="169" customFormat="1" ht="21" customHeight="1" spans="2:12">
      <c r="B170" s="210"/>
      <c r="C170" s="214" t="s">
        <v>935</v>
      </c>
      <c r="D170" s="212">
        <f t="shared" ref="D170:D181" si="27">J170*K170/10000</f>
        <v>1815</v>
      </c>
      <c r="E170" s="212"/>
      <c r="F170" s="212"/>
      <c r="G170" s="213"/>
      <c r="H170" s="213">
        <f t="shared" ref="H170:H173" si="28">SUM(D170:G170)</f>
        <v>1815</v>
      </c>
      <c r="I170" s="225" t="s">
        <v>889</v>
      </c>
      <c r="J170" s="225">
        <v>55000</v>
      </c>
      <c r="K170" s="225">
        <v>330</v>
      </c>
      <c r="L170" s="227"/>
    </row>
    <row r="171" s="169" customFormat="1" ht="21" customHeight="1" spans="2:12">
      <c r="B171" s="210"/>
      <c r="C171" s="214" t="s">
        <v>936</v>
      </c>
      <c r="D171" s="212">
        <f t="shared" si="27"/>
        <v>96.25</v>
      </c>
      <c r="E171" s="212"/>
      <c r="F171" s="212"/>
      <c r="G171" s="213"/>
      <c r="H171" s="213">
        <f t="shared" si="28"/>
        <v>96.25</v>
      </c>
      <c r="I171" s="225" t="s">
        <v>889</v>
      </c>
      <c r="J171" s="225">
        <v>13750</v>
      </c>
      <c r="K171" s="225">
        <v>70</v>
      </c>
      <c r="L171" s="227"/>
    </row>
    <row r="172" s="169" customFormat="1" ht="21" customHeight="1" spans="2:12">
      <c r="B172" s="210"/>
      <c r="C172" s="214" t="s">
        <v>937</v>
      </c>
      <c r="D172" s="212">
        <f t="shared" si="27"/>
        <v>3.375</v>
      </c>
      <c r="E172" s="212"/>
      <c r="F172" s="212"/>
      <c r="G172" s="213"/>
      <c r="H172" s="213">
        <f t="shared" si="28"/>
        <v>3.375</v>
      </c>
      <c r="I172" s="225" t="s">
        <v>42</v>
      </c>
      <c r="J172" s="225">
        <v>750</v>
      </c>
      <c r="K172" s="225">
        <v>45</v>
      </c>
      <c r="L172" s="227"/>
    </row>
    <row r="173" s="169" customFormat="1" ht="21" customHeight="1" spans="2:12">
      <c r="B173" s="210" t="s">
        <v>55</v>
      </c>
      <c r="C173" s="233" t="s">
        <v>938</v>
      </c>
      <c r="D173" s="212">
        <f t="shared" si="27"/>
        <v>0</v>
      </c>
      <c r="E173" s="212"/>
      <c r="F173" s="212"/>
      <c r="G173" s="213"/>
      <c r="H173" s="213">
        <f t="shared" si="28"/>
        <v>0</v>
      </c>
      <c r="I173" s="225"/>
      <c r="J173" s="225"/>
      <c r="K173" s="225"/>
      <c r="L173" s="227"/>
    </row>
    <row r="174" s="169" customFormat="1" ht="21" customHeight="1" spans="2:12">
      <c r="B174" s="210"/>
      <c r="C174" s="214" t="s">
        <v>939</v>
      </c>
      <c r="D174" s="212">
        <f t="shared" si="27"/>
        <v>414</v>
      </c>
      <c r="E174" s="212"/>
      <c r="F174" s="212"/>
      <c r="G174" s="213"/>
      <c r="H174" s="213">
        <f t="shared" ref="H174:H181" si="29">SUM(D174:G174)</f>
        <v>414</v>
      </c>
      <c r="I174" s="225" t="s">
        <v>889</v>
      </c>
      <c r="J174" s="225">
        <v>13800</v>
      </c>
      <c r="K174" s="225">
        <v>300</v>
      </c>
      <c r="L174" s="227"/>
    </row>
    <row r="175" s="169" customFormat="1" ht="21" customHeight="1" spans="2:12">
      <c r="B175" s="210"/>
      <c r="C175" s="214" t="s">
        <v>940</v>
      </c>
      <c r="D175" s="212">
        <f t="shared" si="27"/>
        <v>600</v>
      </c>
      <c r="E175" s="212"/>
      <c r="F175" s="212"/>
      <c r="G175" s="213"/>
      <c r="H175" s="213">
        <f t="shared" si="29"/>
        <v>600</v>
      </c>
      <c r="I175" s="225" t="s">
        <v>889</v>
      </c>
      <c r="J175" s="225">
        <v>2000</v>
      </c>
      <c r="K175" s="225">
        <v>3000</v>
      </c>
      <c r="L175" s="227"/>
    </row>
    <row r="176" s="169" customFormat="1" ht="21" customHeight="1" spans="2:12">
      <c r="B176" s="210"/>
      <c r="C176" s="214" t="s">
        <v>941</v>
      </c>
      <c r="D176" s="212">
        <f t="shared" si="27"/>
        <v>410.02</v>
      </c>
      <c r="E176" s="212"/>
      <c r="F176" s="212"/>
      <c r="G176" s="213"/>
      <c r="H176" s="213">
        <f t="shared" si="29"/>
        <v>410.02</v>
      </c>
      <c r="I176" s="225" t="s">
        <v>889</v>
      </c>
      <c r="J176" s="225">
        <v>16600</v>
      </c>
      <c r="K176" s="225">
        <v>247</v>
      </c>
      <c r="L176" s="227"/>
    </row>
    <row r="177" s="169" customFormat="1" ht="21" customHeight="1" spans="2:12">
      <c r="B177" s="210"/>
      <c r="C177" s="214" t="s">
        <v>942</v>
      </c>
      <c r="D177" s="212">
        <f t="shared" si="27"/>
        <v>12</v>
      </c>
      <c r="E177" s="212"/>
      <c r="F177" s="212"/>
      <c r="G177" s="213"/>
      <c r="H177" s="213">
        <f t="shared" si="29"/>
        <v>12</v>
      </c>
      <c r="I177" s="225" t="s">
        <v>26</v>
      </c>
      <c r="J177" s="225">
        <v>2</v>
      </c>
      <c r="K177" s="225">
        <v>60000</v>
      </c>
      <c r="L177" s="227"/>
    </row>
    <row r="178" s="169" customFormat="1" ht="21" customHeight="1" spans="2:12">
      <c r="B178" s="210"/>
      <c r="C178" s="214" t="s">
        <v>943</v>
      </c>
      <c r="D178" s="212">
        <f t="shared" si="27"/>
        <v>252</v>
      </c>
      <c r="E178" s="212"/>
      <c r="F178" s="212"/>
      <c r="G178" s="213"/>
      <c r="H178" s="213">
        <f t="shared" si="29"/>
        <v>252</v>
      </c>
      <c r="I178" s="225" t="s">
        <v>863</v>
      </c>
      <c r="J178" s="225">
        <v>2</v>
      </c>
      <c r="K178" s="225">
        <v>1260000</v>
      </c>
      <c r="L178" s="227"/>
    </row>
    <row r="179" s="169" customFormat="1" ht="21" customHeight="1" spans="2:12">
      <c r="B179" s="210"/>
      <c r="C179" s="214" t="s">
        <v>944</v>
      </c>
      <c r="D179" s="212">
        <f t="shared" si="27"/>
        <v>40</v>
      </c>
      <c r="E179" s="212"/>
      <c r="F179" s="212"/>
      <c r="G179" s="213"/>
      <c r="H179" s="213">
        <f t="shared" si="29"/>
        <v>40</v>
      </c>
      <c r="I179" s="225" t="s">
        <v>26</v>
      </c>
      <c r="J179" s="225">
        <v>2</v>
      </c>
      <c r="K179" s="225">
        <v>200000</v>
      </c>
      <c r="L179" s="227"/>
    </row>
    <row r="180" s="169" customFormat="1" ht="21" customHeight="1" spans="2:12">
      <c r="B180" s="210"/>
      <c r="C180" s="214" t="s">
        <v>945</v>
      </c>
      <c r="D180" s="212">
        <f t="shared" si="27"/>
        <v>10</v>
      </c>
      <c r="E180" s="212"/>
      <c r="F180" s="212"/>
      <c r="G180" s="213"/>
      <c r="H180" s="213">
        <f t="shared" si="29"/>
        <v>10</v>
      </c>
      <c r="I180" s="225" t="s">
        <v>26</v>
      </c>
      <c r="J180" s="225">
        <v>50</v>
      </c>
      <c r="K180" s="225">
        <v>2000</v>
      </c>
      <c r="L180" s="227"/>
    </row>
    <row r="181" s="169" customFormat="1" ht="21" customHeight="1" spans="2:12">
      <c r="B181" s="210"/>
      <c r="C181" s="214" t="s">
        <v>946</v>
      </c>
      <c r="D181" s="212">
        <f t="shared" si="27"/>
        <v>6</v>
      </c>
      <c r="E181" s="212"/>
      <c r="F181" s="212"/>
      <c r="G181" s="213"/>
      <c r="H181" s="213">
        <f t="shared" si="29"/>
        <v>6</v>
      </c>
      <c r="I181" s="225" t="s">
        <v>26</v>
      </c>
      <c r="J181" s="225">
        <v>40</v>
      </c>
      <c r="K181" s="225">
        <v>1500</v>
      </c>
      <c r="L181" s="227"/>
    </row>
    <row r="182" s="169" customFormat="1" ht="21" customHeight="1" spans="2:12">
      <c r="B182" s="210"/>
      <c r="C182" s="214" t="s">
        <v>947</v>
      </c>
      <c r="D182" s="212">
        <v>122.5</v>
      </c>
      <c r="E182" s="212"/>
      <c r="F182" s="212"/>
      <c r="G182" s="213"/>
      <c r="H182" s="213">
        <v>122.5</v>
      </c>
      <c r="I182" s="225" t="s">
        <v>314</v>
      </c>
      <c r="J182" s="225">
        <v>1</v>
      </c>
      <c r="K182" s="225"/>
      <c r="L182" s="227"/>
    </row>
    <row r="183" s="169" customFormat="1" ht="21" customHeight="1" spans="2:12">
      <c r="B183" s="210"/>
      <c r="C183" s="214" t="s">
        <v>948</v>
      </c>
      <c r="D183" s="212">
        <f t="shared" ref="D183" si="30">J183*K183/10000</f>
        <v>24</v>
      </c>
      <c r="E183" s="212"/>
      <c r="F183" s="212"/>
      <c r="G183" s="213"/>
      <c r="H183" s="213">
        <f t="shared" ref="H183" si="31">SUM(D183:G183)</f>
        <v>24</v>
      </c>
      <c r="I183" s="225" t="s">
        <v>26</v>
      </c>
      <c r="J183" s="225">
        <v>200</v>
      </c>
      <c r="K183" s="225">
        <v>1200</v>
      </c>
      <c r="L183" s="227"/>
    </row>
    <row r="184" s="169" customFormat="1" ht="21" customHeight="1" spans="2:12">
      <c r="B184" s="210" t="s">
        <v>59</v>
      </c>
      <c r="C184" s="233" t="s">
        <v>949</v>
      </c>
      <c r="D184" s="212"/>
      <c r="E184" s="212"/>
      <c r="F184" s="212"/>
      <c r="G184" s="213"/>
      <c r="H184" s="213">
        <v>0</v>
      </c>
      <c r="I184" s="225"/>
      <c r="J184" s="225"/>
      <c r="K184" s="225"/>
      <c r="L184" s="227"/>
    </row>
    <row r="185" s="169" customFormat="1" ht="21" customHeight="1" spans="2:12">
      <c r="B185" s="210"/>
      <c r="C185" s="214" t="s">
        <v>950</v>
      </c>
      <c r="D185" s="212">
        <f t="shared" ref="D185:D196" si="32">J185*K185/10000</f>
        <v>160</v>
      </c>
      <c r="E185" s="212"/>
      <c r="F185" s="212"/>
      <c r="G185" s="213"/>
      <c r="H185" s="213">
        <f t="shared" ref="H185:H196" si="33">SUM(D185:G185)</f>
        <v>160</v>
      </c>
      <c r="I185" s="225" t="s">
        <v>863</v>
      </c>
      <c r="J185" s="225">
        <v>2</v>
      </c>
      <c r="K185" s="225">
        <v>800000</v>
      </c>
      <c r="L185" s="227"/>
    </row>
    <row r="186" s="169" customFormat="1" ht="21" customHeight="1" spans="2:12">
      <c r="B186" s="210"/>
      <c r="C186" s="214" t="s">
        <v>951</v>
      </c>
      <c r="D186" s="212">
        <f t="shared" si="32"/>
        <v>30</v>
      </c>
      <c r="E186" s="212"/>
      <c r="F186" s="212"/>
      <c r="G186" s="213"/>
      <c r="H186" s="213">
        <f t="shared" si="33"/>
        <v>30</v>
      </c>
      <c r="I186" s="225" t="s">
        <v>863</v>
      </c>
      <c r="J186" s="225">
        <v>2</v>
      </c>
      <c r="K186" s="225">
        <v>150000</v>
      </c>
      <c r="L186" s="227"/>
    </row>
    <row r="187" s="169" customFormat="1" ht="21" customHeight="1" spans="2:12">
      <c r="B187" s="210"/>
      <c r="C187" s="214" t="s">
        <v>952</v>
      </c>
      <c r="D187" s="212">
        <f t="shared" si="32"/>
        <v>12.5</v>
      </c>
      <c r="E187" s="212"/>
      <c r="F187" s="212"/>
      <c r="G187" s="213"/>
      <c r="H187" s="213">
        <f t="shared" si="33"/>
        <v>12.5</v>
      </c>
      <c r="I187" s="225" t="s">
        <v>863</v>
      </c>
      <c r="J187" s="225">
        <v>5</v>
      </c>
      <c r="K187" s="225">
        <v>25000</v>
      </c>
      <c r="L187" s="227"/>
    </row>
    <row r="188" s="169" customFormat="1" ht="21" customHeight="1" spans="2:12">
      <c r="B188" s="210"/>
      <c r="C188" s="214" t="s">
        <v>953</v>
      </c>
      <c r="D188" s="212">
        <f t="shared" si="32"/>
        <v>175</v>
      </c>
      <c r="E188" s="212"/>
      <c r="F188" s="212"/>
      <c r="G188" s="213"/>
      <c r="H188" s="213">
        <f t="shared" si="33"/>
        <v>175</v>
      </c>
      <c r="I188" s="225" t="s">
        <v>820</v>
      </c>
      <c r="J188" s="225">
        <v>7</v>
      </c>
      <c r="K188" s="225">
        <v>250000</v>
      </c>
      <c r="L188" s="227"/>
    </row>
    <row r="189" s="169" customFormat="1" ht="21" customHeight="1" spans="2:12">
      <c r="B189" s="210"/>
      <c r="C189" s="214" t="s">
        <v>954</v>
      </c>
      <c r="D189" s="212">
        <f t="shared" si="32"/>
        <v>36</v>
      </c>
      <c r="E189" s="212"/>
      <c r="F189" s="212"/>
      <c r="G189" s="213"/>
      <c r="H189" s="213">
        <f t="shared" si="33"/>
        <v>36</v>
      </c>
      <c r="I189" s="225" t="s">
        <v>820</v>
      </c>
      <c r="J189" s="225">
        <v>2</v>
      </c>
      <c r="K189" s="225">
        <v>180000</v>
      </c>
      <c r="L189" s="227"/>
    </row>
    <row r="190" s="169" customFormat="1" ht="21" customHeight="1" spans="2:12">
      <c r="B190" s="210"/>
      <c r="C190" s="214" t="s">
        <v>955</v>
      </c>
      <c r="D190" s="212">
        <f t="shared" si="32"/>
        <v>12</v>
      </c>
      <c r="E190" s="212"/>
      <c r="F190" s="212"/>
      <c r="G190" s="213"/>
      <c r="H190" s="213">
        <f t="shared" si="33"/>
        <v>12</v>
      </c>
      <c r="I190" s="225" t="s">
        <v>820</v>
      </c>
      <c r="J190" s="225">
        <v>2</v>
      </c>
      <c r="K190" s="225">
        <v>60000</v>
      </c>
      <c r="L190" s="227"/>
    </row>
    <row r="191" s="169" customFormat="1" ht="21" customHeight="1" spans="2:12">
      <c r="B191" s="210"/>
      <c r="C191" s="214" t="s">
        <v>956</v>
      </c>
      <c r="D191" s="212">
        <f t="shared" si="32"/>
        <v>44.7</v>
      </c>
      <c r="E191" s="212"/>
      <c r="F191" s="212"/>
      <c r="G191" s="213"/>
      <c r="H191" s="213">
        <f t="shared" si="33"/>
        <v>44.7</v>
      </c>
      <c r="I191" s="225" t="s">
        <v>26</v>
      </c>
      <c r="J191" s="225">
        <v>149</v>
      </c>
      <c r="K191" s="225">
        <v>3000</v>
      </c>
      <c r="L191" s="227"/>
    </row>
    <row r="192" s="169" customFormat="1" ht="21" customHeight="1" spans="2:12">
      <c r="B192" s="210"/>
      <c r="C192" s="214" t="s">
        <v>957</v>
      </c>
      <c r="D192" s="212">
        <f t="shared" si="32"/>
        <v>0.2</v>
      </c>
      <c r="E192" s="212"/>
      <c r="F192" s="212"/>
      <c r="G192" s="213"/>
      <c r="H192" s="213">
        <f t="shared" si="33"/>
        <v>0.2</v>
      </c>
      <c r="I192" s="225" t="s">
        <v>314</v>
      </c>
      <c r="J192" s="225">
        <v>1</v>
      </c>
      <c r="K192" s="225">
        <v>2000</v>
      </c>
      <c r="L192" s="227"/>
    </row>
    <row r="193" s="169" customFormat="1" ht="21" customHeight="1" spans="2:12">
      <c r="B193" s="210"/>
      <c r="C193" s="214" t="s">
        <v>958</v>
      </c>
      <c r="D193" s="212">
        <f t="shared" si="32"/>
        <v>200</v>
      </c>
      <c r="E193" s="212"/>
      <c r="F193" s="212"/>
      <c r="G193" s="213"/>
      <c r="H193" s="213">
        <f t="shared" si="33"/>
        <v>200</v>
      </c>
      <c r="I193" s="225" t="s">
        <v>314</v>
      </c>
      <c r="J193" s="225">
        <v>10</v>
      </c>
      <c r="K193" s="225">
        <v>200000</v>
      </c>
      <c r="L193" s="227"/>
    </row>
    <row r="194" s="169" customFormat="1" ht="21" customHeight="1" spans="2:12">
      <c r="B194" s="210"/>
      <c r="C194" s="214" t="s">
        <v>959</v>
      </c>
      <c r="D194" s="212">
        <f t="shared" si="32"/>
        <v>21</v>
      </c>
      <c r="E194" s="212"/>
      <c r="F194" s="212"/>
      <c r="G194" s="213"/>
      <c r="H194" s="213">
        <f t="shared" si="33"/>
        <v>21</v>
      </c>
      <c r="I194" s="225" t="s">
        <v>820</v>
      </c>
      <c r="J194" s="225">
        <v>7</v>
      </c>
      <c r="K194" s="225">
        <v>30000</v>
      </c>
      <c r="L194" s="227"/>
    </row>
    <row r="195" s="169" customFormat="1" ht="21" customHeight="1" spans="2:12">
      <c r="B195" s="210"/>
      <c r="C195" s="214" t="s">
        <v>960</v>
      </c>
      <c r="D195" s="212">
        <f t="shared" si="32"/>
        <v>42</v>
      </c>
      <c r="E195" s="212"/>
      <c r="F195" s="212"/>
      <c r="G195" s="213"/>
      <c r="H195" s="213">
        <f t="shared" si="33"/>
        <v>42</v>
      </c>
      <c r="I195" s="225" t="s">
        <v>26</v>
      </c>
      <c r="J195" s="225">
        <v>140</v>
      </c>
      <c r="K195" s="225">
        <v>3000</v>
      </c>
      <c r="L195" s="227"/>
    </row>
    <row r="196" s="169" customFormat="1" ht="21" customHeight="1" spans="2:12">
      <c r="B196" s="210"/>
      <c r="C196" s="214" t="s">
        <v>961</v>
      </c>
      <c r="D196" s="212">
        <f t="shared" si="32"/>
        <v>15</v>
      </c>
      <c r="E196" s="212"/>
      <c r="F196" s="212"/>
      <c r="G196" s="213"/>
      <c r="H196" s="213">
        <f t="shared" si="33"/>
        <v>15</v>
      </c>
      <c r="I196" s="225" t="s">
        <v>863</v>
      </c>
      <c r="J196" s="225">
        <v>1</v>
      </c>
      <c r="K196" s="225">
        <v>150000</v>
      </c>
      <c r="L196" s="227"/>
    </row>
    <row r="197" s="169" customFormat="1" ht="21" customHeight="1" spans="2:12">
      <c r="B197" s="210"/>
      <c r="C197" s="214"/>
      <c r="D197" s="212"/>
      <c r="E197" s="212"/>
      <c r="F197" s="212"/>
      <c r="G197" s="213"/>
      <c r="H197" s="213"/>
      <c r="I197" s="225"/>
      <c r="J197" s="225"/>
      <c r="K197" s="225"/>
      <c r="L197" s="227"/>
    </row>
    <row r="198" s="169" customFormat="1" ht="21" customHeight="1" spans="2:12">
      <c r="B198" s="210"/>
      <c r="C198" s="214"/>
      <c r="D198" s="212"/>
      <c r="E198" s="212"/>
      <c r="F198" s="212"/>
      <c r="G198" s="213"/>
      <c r="H198" s="213"/>
      <c r="I198" s="225"/>
      <c r="J198" s="225"/>
      <c r="K198" s="225"/>
      <c r="L198" s="227"/>
    </row>
    <row r="199" ht="21" customHeight="1" spans="2:12">
      <c r="B199" s="31" t="s">
        <v>962</v>
      </c>
      <c r="C199" s="35" t="s">
        <v>963</v>
      </c>
      <c r="D199" s="39"/>
      <c r="E199" s="39"/>
      <c r="F199" s="39"/>
      <c r="G199" s="39"/>
      <c r="H199" s="40"/>
      <c r="I199" s="64" t="s">
        <v>964</v>
      </c>
      <c r="J199" s="64">
        <v>20000</v>
      </c>
      <c r="K199" s="117"/>
      <c r="L199" s="252"/>
    </row>
    <row r="200" ht="21" customHeight="1" spans="2:12">
      <c r="B200" s="116" t="s">
        <v>18</v>
      </c>
      <c r="C200" s="84" t="s">
        <v>965</v>
      </c>
      <c r="D200" s="39"/>
      <c r="E200" s="39"/>
      <c r="F200" s="39"/>
      <c r="G200" s="40"/>
      <c r="H200" s="40"/>
      <c r="I200" s="64"/>
      <c r="J200" s="64"/>
      <c r="K200" s="117"/>
      <c r="L200" s="252"/>
    </row>
    <row r="201" ht="21" customHeight="1" spans="2:12">
      <c r="B201" s="116"/>
      <c r="C201" s="84" t="s">
        <v>22</v>
      </c>
      <c r="D201" s="39">
        <v>153.23</v>
      </c>
      <c r="E201" s="39"/>
      <c r="F201" s="39"/>
      <c r="G201" s="40"/>
      <c r="H201" s="40">
        <v>153.23</v>
      </c>
      <c r="I201" s="64" t="s">
        <v>283</v>
      </c>
      <c r="J201" s="64">
        <v>10215.1</v>
      </c>
      <c r="K201" s="117">
        <v>150</v>
      </c>
      <c r="L201" s="252"/>
    </row>
    <row r="202" ht="21" customHeight="1" spans="2:12">
      <c r="B202" s="116"/>
      <c r="C202" s="84" t="s">
        <v>966</v>
      </c>
      <c r="D202" s="39">
        <v>191.91</v>
      </c>
      <c r="E202" s="39"/>
      <c r="F202" s="39"/>
      <c r="G202" s="40"/>
      <c r="H202" s="40">
        <v>191.91</v>
      </c>
      <c r="I202" s="64" t="s">
        <v>283</v>
      </c>
      <c r="J202" s="64">
        <v>19191.11</v>
      </c>
      <c r="K202" s="117">
        <v>100</v>
      </c>
      <c r="L202" s="252"/>
    </row>
    <row r="203" ht="21" customHeight="1" spans="2:12">
      <c r="B203" s="116"/>
      <c r="C203" s="84" t="s">
        <v>28</v>
      </c>
      <c r="D203" s="39">
        <v>32.08</v>
      </c>
      <c r="E203" s="39"/>
      <c r="F203" s="39"/>
      <c r="G203" s="40"/>
      <c r="H203" s="40">
        <v>32.08</v>
      </c>
      <c r="I203" s="64" t="s">
        <v>29</v>
      </c>
      <c r="J203" s="64">
        <v>802</v>
      </c>
      <c r="K203" s="117">
        <v>400</v>
      </c>
      <c r="L203" s="252"/>
    </row>
    <row r="204" ht="21" customHeight="1" spans="2:12">
      <c r="B204" s="116"/>
      <c r="C204" s="84" t="s">
        <v>967</v>
      </c>
      <c r="D204" s="39">
        <v>150</v>
      </c>
      <c r="E204" s="39"/>
      <c r="F204" s="39"/>
      <c r="G204" s="40"/>
      <c r="H204" s="40">
        <v>150</v>
      </c>
      <c r="I204" s="81" t="s">
        <v>841</v>
      </c>
      <c r="J204" s="64">
        <v>1</v>
      </c>
      <c r="K204" s="117"/>
      <c r="L204" s="252"/>
    </row>
    <row r="205" ht="21" customHeight="1" spans="2:12">
      <c r="B205" s="116"/>
      <c r="C205" s="84" t="s">
        <v>968</v>
      </c>
      <c r="D205" s="39">
        <v>16.8</v>
      </c>
      <c r="E205" s="39"/>
      <c r="F205" s="39"/>
      <c r="G205" s="40"/>
      <c r="H205" s="40">
        <v>16.8</v>
      </c>
      <c r="I205" s="64" t="s">
        <v>283</v>
      </c>
      <c r="J205" s="64">
        <v>60</v>
      </c>
      <c r="K205" s="117">
        <v>2800</v>
      </c>
      <c r="L205" s="252"/>
    </row>
    <row r="206" ht="21" customHeight="1" spans="2:12">
      <c r="B206" s="116"/>
      <c r="C206" s="84" t="s">
        <v>969</v>
      </c>
      <c r="D206" s="39">
        <v>3</v>
      </c>
      <c r="E206" s="39"/>
      <c r="F206" s="39"/>
      <c r="G206" s="40"/>
      <c r="H206" s="40">
        <v>3</v>
      </c>
      <c r="I206" s="64"/>
      <c r="J206" s="64"/>
      <c r="K206" s="117"/>
      <c r="L206" s="252"/>
    </row>
    <row r="207" ht="21" customHeight="1" spans="2:12">
      <c r="B207" s="116" t="s">
        <v>40</v>
      </c>
      <c r="C207" s="84" t="s">
        <v>72</v>
      </c>
      <c r="D207" s="39">
        <v>600</v>
      </c>
      <c r="E207" s="39"/>
      <c r="F207" s="39"/>
      <c r="G207" s="40"/>
      <c r="H207" s="40">
        <v>600</v>
      </c>
      <c r="I207" s="64" t="s">
        <v>283</v>
      </c>
      <c r="J207" s="64">
        <v>2400</v>
      </c>
      <c r="K207" s="117">
        <v>2500</v>
      </c>
      <c r="L207" s="252"/>
    </row>
    <row r="208" ht="21" customHeight="1" spans="2:12">
      <c r="B208" s="116" t="s">
        <v>45</v>
      </c>
      <c r="C208" s="84" t="s">
        <v>970</v>
      </c>
      <c r="D208" s="39">
        <v>64.58</v>
      </c>
      <c r="E208" s="240">
        <v>67.88</v>
      </c>
      <c r="F208" s="240">
        <v>20.36</v>
      </c>
      <c r="G208" s="40"/>
      <c r="H208" s="241">
        <v>180.25</v>
      </c>
      <c r="I208" s="64" t="s">
        <v>42</v>
      </c>
      <c r="J208" s="64">
        <v>322.92</v>
      </c>
      <c r="K208" s="117">
        <v>2000</v>
      </c>
      <c r="L208" s="252"/>
    </row>
    <row r="209" ht="21" customHeight="1" spans="2:12">
      <c r="B209" s="116" t="s">
        <v>47</v>
      </c>
      <c r="C209" s="84" t="s">
        <v>971</v>
      </c>
      <c r="D209" s="39">
        <v>27.42</v>
      </c>
      <c r="E209" s="242"/>
      <c r="F209" s="242"/>
      <c r="G209" s="40"/>
      <c r="H209" s="243"/>
      <c r="I209" s="64" t="s">
        <v>283</v>
      </c>
      <c r="J209" s="64">
        <v>97.92</v>
      </c>
      <c r="K209" s="117">
        <v>2800</v>
      </c>
      <c r="L209" s="252"/>
    </row>
    <row r="210" ht="21" customHeight="1" spans="2:12">
      <c r="B210" s="116" t="s">
        <v>51</v>
      </c>
      <c r="C210" s="84" t="s">
        <v>972</v>
      </c>
      <c r="D210" s="39">
        <v>18.26</v>
      </c>
      <c r="E210" s="240">
        <v>82.39</v>
      </c>
      <c r="F210" s="240">
        <v>16.48</v>
      </c>
      <c r="G210" s="40"/>
      <c r="H210" s="241">
        <v>251.19</v>
      </c>
      <c r="I210" s="64" t="s">
        <v>42</v>
      </c>
      <c r="J210" s="64">
        <v>86.94</v>
      </c>
      <c r="K210" s="117">
        <v>2100</v>
      </c>
      <c r="L210" s="252"/>
    </row>
    <row r="211" ht="21" customHeight="1" spans="2:12">
      <c r="B211" s="116" t="s">
        <v>53</v>
      </c>
      <c r="C211" s="84" t="s">
        <v>973</v>
      </c>
      <c r="D211" s="39">
        <v>134.06</v>
      </c>
      <c r="E211" s="242"/>
      <c r="F211" s="242"/>
      <c r="G211" s="40"/>
      <c r="H211" s="243"/>
      <c r="I211" s="64" t="s">
        <v>42</v>
      </c>
      <c r="J211" s="64">
        <v>638.4</v>
      </c>
      <c r="K211" s="117">
        <v>2100</v>
      </c>
      <c r="L211" s="252"/>
    </row>
    <row r="212" ht="21" customHeight="1" spans="2:12">
      <c r="B212" s="116" t="s">
        <v>55</v>
      </c>
      <c r="C212" s="84" t="s">
        <v>974</v>
      </c>
      <c r="D212" s="39">
        <v>591.36</v>
      </c>
      <c r="E212" s="39">
        <v>1064.6</v>
      </c>
      <c r="F212" s="39">
        <v>150.19</v>
      </c>
      <c r="G212" s="40"/>
      <c r="H212" s="40">
        <v>1806.15</v>
      </c>
      <c r="I212" s="64" t="s">
        <v>42</v>
      </c>
      <c r="J212" s="64">
        <v>11827.2</v>
      </c>
      <c r="K212" s="117">
        <v>500</v>
      </c>
      <c r="L212" s="252"/>
    </row>
    <row r="213" ht="21" customHeight="1" spans="2:12">
      <c r="B213" s="116" t="s">
        <v>59</v>
      </c>
      <c r="C213" s="84" t="s">
        <v>54</v>
      </c>
      <c r="D213" s="39">
        <v>71.72</v>
      </c>
      <c r="E213" s="240">
        <v>123.97</v>
      </c>
      <c r="F213" s="240">
        <v>24.79</v>
      </c>
      <c r="G213" s="40"/>
      <c r="H213" s="241">
        <v>416.37</v>
      </c>
      <c r="I213" s="64" t="s">
        <v>42</v>
      </c>
      <c r="J213" s="64">
        <v>796.93</v>
      </c>
      <c r="K213" s="117">
        <v>900</v>
      </c>
      <c r="L213" s="252"/>
    </row>
    <row r="214" ht="21" customHeight="1" spans="2:12">
      <c r="B214" s="116" t="s">
        <v>61</v>
      </c>
      <c r="C214" s="84" t="s">
        <v>975</v>
      </c>
      <c r="D214" s="39">
        <v>195.88</v>
      </c>
      <c r="E214" s="242"/>
      <c r="F214" s="242"/>
      <c r="G214" s="40"/>
      <c r="H214" s="243"/>
      <c r="I214" s="64" t="s">
        <v>42</v>
      </c>
      <c r="J214" s="64">
        <v>3695.86</v>
      </c>
      <c r="K214" s="117">
        <v>530</v>
      </c>
      <c r="L214" s="252"/>
    </row>
    <row r="215" ht="21" customHeight="1" spans="2:12">
      <c r="B215" s="116" t="s">
        <v>63</v>
      </c>
      <c r="C215" s="84" t="s">
        <v>56</v>
      </c>
      <c r="D215" s="39">
        <v>170</v>
      </c>
      <c r="E215" s="39">
        <v>158.28</v>
      </c>
      <c r="F215" s="39">
        <v>31.66</v>
      </c>
      <c r="G215" s="40"/>
      <c r="H215" s="40">
        <v>359.93</v>
      </c>
      <c r="I215" s="64" t="s">
        <v>42</v>
      </c>
      <c r="J215" s="64">
        <v>2000</v>
      </c>
      <c r="K215" s="117">
        <v>850</v>
      </c>
      <c r="L215" s="252"/>
    </row>
    <row r="216" ht="21" customHeight="1" spans="2:12">
      <c r="B216" s="116" t="s">
        <v>65</v>
      </c>
      <c r="C216" s="84" t="s">
        <v>60</v>
      </c>
      <c r="D216" s="39">
        <v>157.05</v>
      </c>
      <c r="E216" s="240">
        <v>30.64</v>
      </c>
      <c r="F216" s="240">
        <v>6.13</v>
      </c>
      <c r="G216" s="40"/>
      <c r="H216" s="241">
        <v>219.55</v>
      </c>
      <c r="I216" s="64" t="s">
        <v>42</v>
      </c>
      <c r="J216" s="64">
        <v>2151.36</v>
      </c>
      <c r="K216" s="117">
        <v>730</v>
      </c>
      <c r="L216" s="252"/>
    </row>
    <row r="217" ht="21" customHeight="1" spans="2:12">
      <c r="B217" s="116" t="s">
        <v>67</v>
      </c>
      <c r="C217" s="84" t="s">
        <v>62</v>
      </c>
      <c r="D217" s="39">
        <v>25.73</v>
      </c>
      <c r="E217" s="242"/>
      <c r="F217" s="242"/>
      <c r="G217" s="40"/>
      <c r="H217" s="243"/>
      <c r="I217" s="64" t="s">
        <v>42</v>
      </c>
      <c r="J217" s="64">
        <v>147</v>
      </c>
      <c r="K217" s="117">
        <v>1750</v>
      </c>
      <c r="L217" s="252"/>
    </row>
    <row r="218" ht="21" customHeight="1" spans="2:12">
      <c r="B218" s="116" t="s">
        <v>69</v>
      </c>
      <c r="C218" s="84" t="s">
        <v>976</v>
      </c>
      <c r="D218" s="39">
        <v>5.04</v>
      </c>
      <c r="E218" s="39">
        <v>10.3</v>
      </c>
      <c r="F218" s="39">
        <v>2.06</v>
      </c>
      <c r="G218" s="40"/>
      <c r="H218" s="40">
        <v>17.4</v>
      </c>
      <c r="I218" s="64" t="s">
        <v>283</v>
      </c>
      <c r="J218" s="64">
        <v>18</v>
      </c>
      <c r="K218" s="117">
        <v>2800</v>
      </c>
      <c r="L218" s="252"/>
    </row>
    <row r="219" ht="21" customHeight="1" spans="2:12">
      <c r="B219" s="116" t="s">
        <v>71</v>
      </c>
      <c r="C219" s="84" t="s">
        <v>977</v>
      </c>
      <c r="D219" s="39">
        <v>20.74</v>
      </c>
      <c r="E219" s="39"/>
      <c r="F219" s="39"/>
      <c r="G219" s="40"/>
      <c r="H219" s="40">
        <v>20.74</v>
      </c>
      <c r="I219" s="64" t="s">
        <v>42</v>
      </c>
      <c r="J219" s="64">
        <v>216</v>
      </c>
      <c r="K219" s="117">
        <v>960</v>
      </c>
      <c r="L219" s="252"/>
    </row>
    <row r="220" ht="21" customHeight="1" spans="2:12">
      <c r="B220" s="116" t="s">
        <v>73</v>
      </c>
      <c r="C220" s="84" t="s">
        <v>70</v>
      </c>
      <c r="D220" s="39">
        <v>59.38</v>
      </c>
      <c r="E220" s="39">
        <v>60.56</v>
      </c>
      <c r="F220" s="39">
        <v>12.11</v>
      </c>
      <c r="G220" s="40"/>
      <c r="H220" s="40">
        <v>132.04</v>
      </c>
      <c r="I220" s="64" t="s">
        <v>283</v>
      </c>
      <c r="J220" s="64">
        <v>250</v>
      </c>
      <c r="K220" s="117">
        <v>2375</v>
      </c>
      <c r="L220" s="252"/>
    </row>
    <row r="221" ht="21" customHeight="1" spans="2:12">
      <c r="B221" s="116" t="s">
        <v>75</v>
      </c>
      <c r="C221" s="84" t="s">
        <v>978</v>
      </c>
      <c r="D221" s="39">
        <v>54</v>
      </c>
      <c r="E221" s="39">
        <v>265.64</v>
      </c>
      <c r="F221" s="39">
        <v>53.13</v>
      </c>
      <c r="G221" s="40"/>
      <c r="H221" s="40">
        <v>372.77</v>
      </c>
      <c r="I221" s="64" t="s">
        <v>283</v>
      </c>
      <c r="J221" s="64">
        <v>225</v>
      </c>
      <c r="K221" s="117">
        <v>2400</v>
      </c>
      <c r="L221" s="252"/>
    </row>
    <row r="222" ht="21" customHeight="1" spans="2:12">
      <c r="B222" s="116" t="s">
        <v>77</v>
      </c>
      <c r="C222" s="84" t="s">
        <v>979</v>
      </c>
      <c r="D222" s="39">
        <v>11.5</v>
      </c>
      <c r="E222" s="39">
        <v>70.01</v>
      </c>
      <c r="F222" s="39">
        <v>14</v>
      </c>
      <c r="G222" s="40"/>
      <c r="H222" s="40">
        <v>95.51</v>
      </c>
      <c r="I222" s="64" t="s">
        <v>283</v>
      </c>
      <c r="J222" s="64">
        <v>50</v>
      </c>
      <c r="K222" s="117">
        <v>2300</v>
      </c>
      <c r="L222" s="252"/>
    </row>
    <row r="223" ht="21" customHeight="1" spans="2:12">
      <c r="B223" s="116" t="s">
        <v>79</v>
      </c>
      <c r="C223" s="84" t="s">
        <v>980</v>
      </c>
      <c r="D223" s="39">
        <v>62.4</v>
      </c>
      <c r="E223" s="39"/>
      <c r="F223" s="39"/>
      <c r="G223" s="40"/>
      <c r="H223" s="40">
        <v>62.4</v>
      </c>
      <c r="I223" s="64" t="s">
        <v>283</v>
      </c>
      <c r="J223" s="64">
        <v>240</v>
      </c>
      <c r="K223" s="117">
        <v>2600</v>
      </c>
      <c r="L223" s="252"/>
    </row>
    <row r="224" ht="21" customHeight="1" spans="2:12">
      <c r="B224" s="116" t="s">
        <v>81</v>
      </c>
      <c r="C224" s="84" t="s">
        <v>981</v>
      </c>
      <c r="D224" s="39">
        <v>10</v>
      </c>
      <c r="E224" s="39"/>
      <c r="F224" s="39"/>
      <c r="G224" s="40"/>
      <c r="H224" s="40">
        <v>10</v>
      </c>
      <c r="I224" s="64" t="s">
        <v>283</v>
      </c>
      <c r="J224" s="64">
        <v>50</v>
      </c>
      <c r="K224" s="117">
        <v>2000</v>
      </c>
      <c r="L224" s="252"/>
    </row>
    <row r="225" ht="21" customHeight="1" spans="2:12">
      <c r="B225" s="116" t="s">
        <v>83</v>
      </c>
      <c r="C225" s="84" t="s">
        <v>78</v>
      </c>
      <c r="D225" s="39"/>
      <c r="E225" s="39">
        <v>287.7</v>
      </c>
      <c r="F225" s="39"/>
      <c r="G225" s="40"/>
      <c r="H225" s="40">
        <v>287.7</v>
      </c>
      <c r="I225" s="64"/>
      <c r="J225" s="64"/>
      <c r="K225" s="117"/>
      <c r="L225" s="252"/>
    </row>
    <row r="226" ht="21" customHeight="1" spans="2:12">
      <c r="B226" s="116" t="s">
        <v>85</v>
      </c>
      <c r="C226" s="84" t="s">
        <v>982</v>
      </c>
      <c r="D226" s="39"/>
      <c r="E226" s="39">
        <v>285.67</v>
      </c>
      <c r="F226" s="39">
        <v>157.12</v>
      </c>
      <c r="G226" s="40"/>
      <c r="H226" s="40">
        <v>442.79</v>
      </c>
      <c r="I226" s="64"/>
      <c r="J226" s="64"/>
      <c r="K226" s="117"/>
      <c r="L226" s="252"/>
    </row>
    <row r="227" ht="21" customHeight="1" spans="2:12">
      <c r="B227" s="116" t="s">
        <v>87</v>
      </c>
      <c r="C227" s="84" t="s">
        <v>983</v>
      </c>
      <c r="D227" s="39"/>
      <c r="E227" s="39">
        <v>91.74</v>
      </c>
      <c r="F227" s="39">
        <v>13.76</v>
      </c>
      <c r="G227" s="40"/>
      <c r="H227" s="40">
        <v>105.5</v>
      </c>
      <c r="I227" s="64"/>
      <c r="J227" s="64"/>
      <c r="K227" s="117"/>
      <c r="L227" s="252"/>
    </row>
    <row r="228" ht="21" customHeight="1" spans="2:12">
      <c r="B228" s="116" t="s">
        <v>89</v>
      </c>
      <c r="C228" s="84" t="s">
        <v>984</v>
      </c>
      <c r="D228" s="39"/>
      <c r="E228" s="39">
        <v>148.28</v>
      </c>
      <c r="F228" s="39">
        <v>22.24</v>
      </c>
      <c r="G228" s="40"/>
      <c r="H228" s="40">
        <v>170.52</v>
      </c>
      <c r="I228" s="64"/>
      <c r="J228" s="64"/>
      <c r="K228" s="117"/>
      <c r="L228" s="252"/>
    </row>
    <row r="229" ht="21" customHeight="1" spans="2:12">
      <c r="B229" s="116" t="s">
        <v>985</v>
      </c>
      <c r="C229" s="84" t="s">
        <v>86</v>
      </c>
      <c r="D229" s="39"/>
      <c r="E229" s="39">
        <v>12</v>
      </c>
      <c r="F229" s="39"/>
      <c r="G229" s="40"/>
      <c r="H229" s="40">
        <v>12</v>
      </c>
      <c r="I229" s="64"/>
      <c r="J229" s="64"/>
      <c r="K229" s="117"/>
      <c r="L229" s="252"/>
    </row>
    <row r="230" ht="21" customHeight="1" spans="2:12">
      <c r="B230" s="116" t="s">
        <v>986</v>
      </c>
      <c r="C230" s="84" t="s">
        <v>987</v>
      </c>
      <c r="D230" s="39"/>
      <c r="E230" s="39">
        <v>10</v>
      </c>
      <c r="F230" s="39"/>
      <c r="G230" s="40"/>
      <c r="H230" s="40">
        <v>10</v>
      </c>
      <c r="I230" s="64"/>
      <c r="J230" s="64"/>
      <c r="K230" s="117"/>
      <c r="L230" s="252"/>
    </row>
    <row r="231" ht="21" customHeight="1" spans="2:12">
      <c r="B231" s="116" t="s">
        <v>988</v>
      </c>
      <c r="C231" s="84" t="s">
        <v>989</v>
      </c>
      <c r="D231" s="39"/>
      <c r="E231" s="39">
        <v>25</v>
      </c>
      <c r="F231" s="39"/>
      <c r="G231" s="40"/>
      <c r="H231" s="40">
        <v>25</v>
      </c>
      <c r="I231" s="64"/>
      <c r="J231" s="64"/>
      <c r="K231" s="117"/>
      <c r="L231" s="252"/>
    </row>
    <row r="232" ht="21" customHeight="1" spans="2:12">
      <c r="B232" s="116" t="s">
        <v>990</v>
      </c>
      <c r="C232" s="84" t="s">
        <v>991</v>
      </c>
      <c r="D232" s="39"/>
      <c r="E232" s="39"/>
      <c r="F232" s="39">
        <v>70</v>
      </c>
      <c r="G232" s="40"/>
      <c r="H232" s="40">
        <v>70</v>
      </c>
      <c r="I232" s="81" t="s">
        <v>841</v>
      </c>
      <c r="J232" s="64">
        <v>1</v>
      </c>
      <c r="K232" s="117"/>
      <c r="L232" s="252" t="s">
        <v>125</v>
      </c>
    </row>
    <row r="233" ht="21" customHeight="1" spans="2:12">
      <c r="B233" s="116" t="s">
        <v>992</v>
      </c>
      <c r="C233" s="84" t="s">
        <v>90</v>
      </c>
      <c r="D233" s="39"/>
      <c r="E233" s="39"/>
      <c r="F233" s="39"/>
      <c r="G233" s="40">
        <v>27.95</v>
      </c>
      <c r="H233" s="40">
        <v>27.95</v>
      </c>
      <c r="I233" s="64"/>
      <c r="J233" s="64"/>
      <c r="K233" s="117"/>
      <c r="L233" s="252"/>
    </row>
    <row r="234" s="170" customFormat="1" ht="21" customHeight="1" spans="2:20">
      <c r="B234" s="244" t="s">
        <v>993</v>
      </c>
      <c r="C234" s="245" t="s">
        <v>994</v>
      </c>
      <c r="D234" s="246"/>
      <c r="E234" s="246"/>
      <c r="F234" s="246"/>
      <c r="G234" s="247"/>
      <c r="H234" s="247"/>
      <c r="I234" s="253"/>
      <c r="J234" s="253"/>
      <c r="K234" s="254"/>
      <c r="L234" s="255"/>
      <c r="N234" s="256" t="s">
        <v>995</v>
      </c>
      <c r="O234" s="256"/>
      <c r="P234" s="256"/>
      <c r="Q234" s="262"/>
      <c r="R234" s="257" t="s">
        <v>996</v>
      </c>
      <c r="S234" s="257"/>
      <c r="T234" s="257"/>
    </row>
    <row r="235" s="170" customFormat="1" ht="21" customHeight="1" spans="2:20">
      <c r="B235" s="244" t="s">
        <v>18</v>
      </c>
      <c r="C235" s="245" t="s">
        <v>997</v>
      </c>
      <c r="D235" s="246"/>
      <c r="E235" s="246"/>
      <c r="F235" s="246"/>
      <c r="G235" s="247"/>
      <c r="H235" s="247"/>
      <c r="I235" s="253"/>
      <c r="J235" s="253"/>
      <c r="K235" s="254"/>
      <c r="L235" s="255"/>
      <c r="N235" s="257" t="s">
        <v>998</v>
      </c>
      <c r="O235" s="257" t="s">
        <v>999</v>
      </c>
      <c r="P235" s="257" t="s">
        <v>1000</v>
      </c>
      <c r="Q235" s="257" t="s">
        <v>1001</v>
      </c>
      <c r="R235" s="257" t="s">
        <v>1002</v>
      </c>
      <c r="S235" s="257" t="s">
        <v>1003</v>
      </c>
      <c r="T235" s="257" t="s">
        <v>1004</v>
      </c>
    </row>
    <row r="236" s="171" customFormat="1" ht="21" customHeight="1" spans="2:20">
      <c r="B236" s="248"/>
      <c r="C236" s="249" t="s">
        <v>1005</v>
      </c>
      <c r="D236" s="250">
        <f>J236*K236/10000</f>
        <v>551.633632304287</v>
      </c>
      <c r="E236" s="250"/>
      <c r="F236" s="250"/>
      <c r="G236" s="251"/>
      <c r="H236" s="251">
        <f>SUM(D236:G236)</f>
        <v>551.633632304287</v>
      </c>
      <c r="I236" s="258" t="s">
        <v>29</v>
      </c>
      <c r="J236" s="259">
        <v>5288.2233</v>
      </c>
      <c r="K236" s="259">
        <f>N236</f>
        <v>1043.13604212645</v>
      </c>
      <c r="L236" s="260" t="s">
        <v>1006</v>
      </c>
      <c r="N236" s="259">
        <f>SUM(O236:Q236,T236)</f>
        <v>1043.13604212645</v>
      </c>
      <c r="O236" s="259">
        <v>480.636042126449</v>
      </c>
      <c r="P236" s="259">
        <v>300</v>
      </c>
      <c r="Q236" s="259">
        <v>120</v>
      </c>
      <c r="R236" s="258">
        <f>(4700+1000)</f>
        <v>5700</v>
      </c>
      <c r="S236" s="258">
        <v>40</v>
      </c>
      <c r="T236" s="259">
        <f>R236/$S$236</f>
        <v>142.5</v>
      </c>
    </row>
    <row r="237" s="171" customFormat="1" ht="21" customHeight="1" spans="2:20">
      <c r="B237" s="248"/>
      <c r="C237" s="249" t="s">
        <v>1007</v>
      </c>
      <c r="D237" s="250">
        <f t="shared" ref="D237:D302" si="34">J237*K237/10000</f>
        <v>754.429517838425</v>
      </c>
      <c r="E237" s="250"/>
      <c r="F237" s="250"/>
      <c r="G237" s="251"/>
      <c r="H237" s="251">
        <f t="shared" ref="H237:H302" si="35">SUM(D237:G237)</f>
        <v>754.429517838425</v>
      </c>
      <c r="I237" s="258" t="s">
        <v>29</v>
      </c>
      <c r="J237" s="259">
        <v>6712.1788</v>
      </c>
      <c r="K237" s="259">
        <f t="shared" ref="K237:K245" si="36">N237</f>
        <v>1123.97112818035</v>
      </c>
      <c r="L237" s="260" t="s">
        <v>1006</v>
      </c>
      <c r="N237" s="259">
        <f t="shared" ref="N237:N295" si="37">SUM(O237:Q237,T237)</f>
        <v>1123.97112818035</v>
      </c>
      <c r="O237" s="259">
        <v>501.471128180354</v>
      </c>
      <c r="P237" s="259">
        <f>P236</f>
        <v>300</v>
      </c>
      <c r="Q237" s="259">
        <v>180</v>
      </c>
      <c r="R237" s="258">
        <f>(4700+1000)</f>
        <v>5700</v>
      </c>
      <c r="S237" s="258"/>
      <c r="T237" s="259">
        <f t="shared" ref="T237:T245" si="38">R237/$S$236</f>
        <v>142.5</v>
      </c>
    </row>
    <row r="238" s="171" customFormat="1" ht="21" customHeight="1" spans="2:20">
      <c r="B238" s="248"/>
      <c r="C238" s="249" t="s">
        <v>1008</v>
      </c>
      <c r="D238" s="250">
        <f t="shared" si="34"/>
        <v>632.155447936916</v>
      </c>
      <c r="E238" s="250"/>
      <c r="F238" s="250"/>
      <c r="G238" s="251"/>
      <c r="H238" s="251">
        <f t="shared" si="35"/>
        <v>632.155447936916</v>
      </c>
      <c r="I238" s="258" t="s">
        <v>29</v>
      </c>
      <c r="J238" s="259">
        <v>3631.4995</v>
      </c>
      <c r="K238" s="259">
        <f t="shared" si="36"/>
        <v>1740.7559823068</v>
      </c>
      <c r="L238" s="260" t="s">
        <v>1009</v>
      </c>
      <c r="N238" s="259">
        <f t="shared" si="37"/>
        <v>1740.7559823068</v>
      </c>
      <c r="O238" s="259">
        <v>985.755982306802</v>
      </c>
      <c r="P238" s="259">
        <f t="shared" ref="P238:P239" si="39">P237</f>
        <v>300</v>
      </c>
      <c r="Q238" s="259">
        <v>300</v>
      </c>
      <c r="R238" s="258">
        <f>(5200+1000)</f>
        <v>6200</v>
      </c>
      <c r="S238" s="258"/>
      <c r="T238" s="259">
        <f t="shared" si="38"/>
        <v>155</v>
      </c>
    </row>
    <row r="239" s="171" customFormat="1" ht="21" customHeight="1" spans="2:20">
      <c r="B239" s="248"/>
      <c r="C239" s="249" t="s">
        <v>1010</v>
      </c>
      <c r="D239" s="250">
        <f t="shared" si="34"/>
        <v>506.777930511201</v>
      </c>
      <c r="E239" s="250"/>
      <c r="F239" s="250"/>
      <c r="G239" s="251"/>
      <c r="H239" s="251">
        <f t="shared" si="35"/>
        <v>506.777930511201</v>
      </c>
      <c r="I239" s="258" t="s">
        <v>29</v>
      </c>
      <c r="J239" s="259">
        <v>2320.2193</v>
      </c>
      <c r="K239" s="259">
        <f t="shared" si="36"/>
        <v>2184.1811699058</v>
      </c>
      <c r="L239" s="260" t="s">
        <v>1009</v>
      </c>
      <c r="N239" s="259">
        <f t="shared" si="37"/>
        <v>2184.1811699058</v>
      </c>
      <c r="O239" s="259">
        <v>1091.6811699058</v>
      </c>
      <c r="P239" s="259">
        <f t="shared" si="39"/>
        <v>300</v>
      </c>
      <c r="Q239" s="259">
        <v>480</v>
      </c>
      <c r="R239" s="258">
        <f>(11500+1000)</f>
        <v>12500</v>
      </c>
      <c r="S239" s="258"/>
      <c r="T239" s="259">
        <f t="shared" si="38"/>
        <v>312.5</v>
      </c>
    </row>
    <row r="240" s="171" customFormat="1" ht="21" customHeight="1" spans="2:20">
      <c r="B240" s="248"/>
      <c r="C240" s="249" t="s">
        <v>1011</v>
      </c>
      <c r="D240" s="250">
        <f t="shared" si="34"/>
        <v>149.950297515781</v>
      </c>
      <c r="E240" s="250"/>
      <c r="F240" s="250"/>
      <c r="G240" s="251"/>
      <c r="H240" s="251">
        <f t="shared" si="35"/>
        <v>149.950297515781</v>
      </c>
      <c r="I240" s="258" t="s">
        <v>29</v>
      </c>
      <c r="J240" s="259">
        <v>297.5223</v>
      </c>
      <c r="K240" s="259">
        <f t="shared" si="36"/>
        <v>5039.96834912141</v>
      </c>
      <c r="L240" s="260" t="s">
        <v>1012</v>
      </c>
      <c r="N240" s="259">
        <f t="shared" si="37"/>
        <v>5039.96834912141</v>
      </c>
      <c r="O240" s="259">
        <v>1768.06834912141</v>
      </c>
      <c r="P240" s="259">
        <f>2000+300</f>
        <v>2300</v>
      </c>
      <c r="Q240" s="259">
        <v>659.4</v>
      </c>
      <c r="R240" s="258">
        <f>(11500+1000)</f>
        <v>12500</v>
      </c>
      <c r="S240" s="258"/>
      <c r="T240" s="259">
        <f t="shared" si="38"/>
        <v>312.5</v>
      </c>
    </row>
    <row r="241" s="171" customFormat="1" ht="21" customHeight="1" spans="2:20">
      <c r="B241" s="248"/>
      <c r="C241" s="249" t="s">
        <v>1013</v>
      </c>
      <c r="D241" s="250">
        <f t="shared" si="34"/>
        <v>1399.77988402627</v>
      </c>
      <c r="E241" s="250"/>
      <c r="F241" s="250"/>
      <c r="G241" s="251"/>
      <c r="H241" s="251">
        <f t="shared" si="35"/>
        <v>1399.77988402627</v>
      </c>
      <c r="I241" s="258" t="s">
        <v>29</v>
      </c>
      <c r="J241" s="259">
        <v>2700</v>
      </c>
      <c r="K241" s="259">
        <f t="shared" si="36"/>
        <v>5184.36994083804</v>
      </c>
      <c r="L241" s="260" t="s">
        <v>1012</v>
      </c>
      <c r="N241" s="259">
        <f t="shared" si="37"/>
        <v>5184.36994083804</v>
      </c>
      <c r="O241" s="259">
        <v>1816.14994083804</v>
      </c>
      <c r="P241" s="259">
        <f>P240</f>
        <v>2300</v>
      </c>
      <c r="Q241" s="259">
        <v>755.72</v>
      </c>
      <c r="R241" s="258">
        <f>(11500+1000)</f>
        <v>12500</v>
      </c>
      <c r="S241" s="258"/>
      <c r="T241" s="259">
        <f t="shared" si="38"/>
        <v>312.5</v>
      </c>
    </row>
    <row r="242" s="171" customFormat="1" ht="21" customHeight="1" spans="2:20">
      <c r="B242" s="248"/>
      <c r="C242" s="249" t="s">
        <v>1014</v>
      </c>
      <c r="D242" s="250">
        <f t="shared" si="34"/>
        <v>541.586515062721</v>
      </c>
      <c r="E242" s="250"/>
      <c r="F242" s="250"/>
      <c r="G242" s="251"/>
      <c r="H242" s="251">
        <f t="shared" si="35"/>
        <v>541.586515062721</v>
      </c>
      <c r="I242" s="258" t="s">
        <v>29</v>
      </c>
      <c r="J242" s="259">
        <v>1000</v>
      </c>
      <c r="K242" s="259">
        <f t="shared" si="36"/>
        <v>5415.86515062721</v>
      </c>
      <c r="L242" s="260" t="s">
        <v>1012</v>
      </c>
      <c r="N242" s="259">
        <f t="shared" si="37"/>
        <v>5415.86515062721</v>
      </c>
      <c r="O242" s="259">
        <v>1868.71515062721</v>
      </c>
      <c r="P242" s="259">
        <f t="shared" ref="P242:P245" si="40">P241</f>
        <v>2300</v>
      </c>
      <c r="Q242" s="259">
        <v>832.15</v>
      </c>
      <c r="R242" s="258">
        <f>(15600+1000)</f>
        <v>16600</v>
      </c>
      <c r="S242" s="258"/>
      <c r="T242" s="259">
        <f t="shared" si="38"/>
        <v>415</v>
      </c>
    </row>
    <row r="243" s="171" customFormat="1" ht="21" customHeight="1" spans="2:20">
      <c r="B243" s="248"/>
      <c r="C243" s="249" t="s">
        <v>1015</v>
      </c>
      <c r="D243" s="250">
        <f t="shared" si="34"/>
        <v>533.295946594376</v>
      </c>
      <c r="E243" s="250"/>
      <c r="F243" s="250"/>
      <c r="G243" s="251"/>
      <c r="H243" s="251">
        <f t="shared" si="35"/>
        <v>533.295946594376</v>
      </c>
      <c r="I243" s="258" t="s">
        <v>29</v>
      </c>
      <c r="J243" s="259">
        <v>850.4194</v>
      </c>
      <c r="K243" s="259">
        <f t="shared" si="36"/>
        <v>6270.97578670449</v>
      </c>
      <c r="L243" s="260" t="s">
        <v>1012</v>
      </c>
      <c r="N243" s="259">
        <f t="shared" si="37"/>
        <v>6270.97578670449</v>
      </c>
      <c r="O243" s="259">
        <f>O242*1.15*1.15</f>
        <v>2471.37578670449</v>
      </c>
      <c r="P243" s="259">
        <f t="shared" si="40"/>
        <v>2300</v>
      </c>
      <c r="Q243" s="259">
        <v>1084.6</v>
      </c>
      <c r="R243" s="258">
        <f>(15600+1000)</f>
        <v>16600</v>
      </c>
      <c r="S243" s="258"/>
      <c r="T243" s="259">
        <f t="shared" si="38"/>
        <v>415</v>
      </c>
    </row>
    <row r="244" s="171" customFormat="1" ht="21" customHeight="1" spans="2:20">
      <c r="B244" s="248"/>
      <c r="C244" s="249" t="s">
        <v>1016</v>
      </c>
      <c r="D244" s="250">
        <f t="shared" si="34"/>
        <v>328.602187145927</v>
      </c>
      <c r="E244" s="250"/>
      <c r="F244" s="250"/>
      <c r="G244" s="251"/>
      <c r="H244" s="251">
        <f t="shared" si="35"/>
        <v>328.602187145927</v>
      </c>
      <c r="I244" s="258" t="s">
        <v>29</v>
      </c>
      <c r="J244" s="259">
        <v>364.0956</v>
      </c>
      <c r="K244" s="259">
        <f t="shared" si="36"/>
        <v>9025.16226908335</v>
      </c>
      <c r="L244" s="260" t="s">
        <v>1017</v>
      </c>
      <c r="N244" s="259">
        <f t="shared" si="37"/>
        <v>9025.16226908335</v>
      </c>
      <c r="O244" s="259">
        <f>O243*1.4*1.15*1.15</f>
        <v>4575.75226908335</v>
      </c>
      <c r="P244" s="259">
        <f t="shared" si="40"/>
        <v>2300</v>
      </c>
      <c r="Q244" s="259">
        <v>1526.91</v>
      </c>
      <c r="R244" s="258">
        <f>(23900+1000)</f>
        <v>24900</v>
      </c>
      <c r="S244" s="258"/>
      <c r="T244" s="259">
        <f t="shared" si="38"/>
        <v>622.5</v>
      </c>
    </row>
    <row r="245" s="171" customFormat="1" ht="21" customHeight="1" spans="2:20">
      <c r="B245" s="248"/>
      <c r="C245" s="249" t="s">
        <v>1018</v>
      </c>
      <c r="D245" s="250">
        <f t="shared" si="34"/>
        <v>118.35498131335</v>
      </c>
      <c r="E245" s="250"/>
      <c r="F245" s="250"/>
      <c r="G245" s="251"/>
      <c r="H245" s="251">
        <f t="shared" si="35"/>
        <v>118.35498131335</v>
      </c>
      <c r="I245" s="258" t="s">
        <v>29</v>
      </c>
      <c r="J245" s="259">
        <v>120</v>
      </c>
      <c r="K245" s="259">
        <f t="shared" si="36"/>
        <v>9862.91510944586</v>
      </c>
      <c r="L245" s="260" t="s">
        <v>1017</v>
      </c>
      <c r="N245" s="259">
        <f t="shared" si="37"/>
        <v>9862.91510944586</v>
      </c>
      <c r="O245" s="259">
        <f>O244*1.15</f>
        <v>5262.11510944586</v>
      </c>
      <c r="P245" s="259">
        <f t="shared" si="40"/>
        <v>2300</v>
      </c>
      <c r="Q245" s="259">
        <v>1678.3</v>
      </c>
      <c r="R245" s="258">
        <f>(23900+1000)</f>
        <v>24900</v>
      </c>
      <c r="S245" s="258"/>
      <c r="T245" s="259">
        <f t="shared" si="38"/>
        <v>622.5</v>
      </c>
    </row>
    <row r="246" s="171" customFormat="1" ht="21" customHeight="1" spans="2:20">
      <c r="B246" s="248" t="s">
        <v>40</v>
      </c>
      <c r="C246" s="245" t="s">
        <v>1019</v>
      </c>
      <c r="D246" s="250">
        <f t="shared" si="34"/>
        <v>0</v>
      </c>
      <c r="E246" s="250"/>
      <c r="F246" s="250"/>
      <c r="G246" s="251"/>
      <c r="H246" s="251">
        <f t="shared" si="35"/>
        <v>0</v>
      </c>
      <c r="I246" s="258"/>
      <c r="J246" s="259"/>
      <c r="K246" s="259"/>
      <c r="N246" s="259">
        <f t="shared" si="37"/>
        <v>1.0991479524006</v>
      </c>
      <c r="O246" s="258"/>
      <c r="P246" s="258"/>
      <c r="Q246" s="263">
        <f>Q245/Q244</f>
        <v>1.0991479524006</v>
      </c>
      <c r="R246" s="258"/>
      <c r="S246" s="258"/>
      <c r="T246" s="258"/>
    </row>
    <row r="247" s="171" customFormat="1" ht="21" customHeight="1" spans="2:20">
      <c r="B247" s="248"/>
      <c r="C247" s="249" t="s">
        <v>1020</v>
      </c>
      <c r="D247" s="250">
        <f t="shared" si="34"/>
        <v>31.441559251</v>
      </c>
      <c r="E247" s="250"/>
      <c r="F247" s="250"/>
      <c r="G247" s="251"/>
      <c r="H247" s="251">
        <f t="shared" si="35"/>
        <v>31.441559251</v>
      </c>
      <c r="I247" s="258" t="s">
        <v>29</v>
      </c>
      <c r="J247" s="259">
        <v>331.4173</v>
      </c>
      <c r="K247" s="259">
        <f>N247</f>
        <v>948.7</v>
      </c>
      <c r="L247" s="260" t="s">
        <v>1021</v>
      </c>
      <c r="N247" s="259">
        <f t="shared" si="37"/>
        <v>948.7</v>
      </c>
      <c r="O247" s="259">
        <f>480+40</f>
        <v>520</v>
      </c>
      <c r="P247" s="259">
        <f>P239</f>
        <v>300</v>
      </c>
      <c r="Q247" s="259">
        <f>33*3.9</f>
        <v>128.7</v>
      </c>
      <c r="R247" s="258"/>
      <c r="S247" s="258"/>
      <c r="T247" s="258"/>
    </row>
    <row r="248" s="171" customFormat="1" ht="21" customHeight="1" spans="2:20">
      <c r="B248" s="248"/>
      <c r="C248" s="249" t="s">
        <v>1022</v>
      </c>
      <c r="D248" s="250">
        <f t="shared" si="34"/>
        <v>449.785</v>
      </c>
      <c r="E248" s="250"/>
      <c r="F248" s="250"/>
      <c r="G248" s="251"/>
      <c r="H248" s="251">
        <f t="shared" si="35"/>
        <v>449.785</v>
      </c>
      <c r="I248" s="258" t="s">
        <v>29</v>
      </c>
      <c r="J248" s="259">
        <v>3500</v>
      </c>
      <c r="K248" s="259">
        <f t="shared" ref="K248:K249" si="41">N248</f>
        <v>1285.1</v>
      </c>
      <c r="L248" s="260" t="s">
        <v>1021</v>
      </c>
      <c r="N248" s="259">
        <f t="shared" si="37"/>
        <v>1285.1</v>
      </c>
      <c r="O248" s="259">
        <f>549+50</f>
        <v>599</v>
      </c>
      <c r="P248" s="259">
        <f>P247</f>
        <v>300</v>
      </c>
      <c r="Q248" s="259">
        <f>99*3.9</f>
        <v>386.1</v>
      </c>
      <c r="R248" s="258"/>
      <c r="S248" s="258"/>
      <c r="T248" s="258"/>
    </row>
    <row r="249" s="171" customFormat="1" ht="21" customHeight="1" spans="2:20">
      <c r="B249" s="248"/>
      <c r="C249" s="249" t="s">
        <v>1023</v>
      </c>
      <c r="D249" s="250">
        <f t="shared" si="34"/>
        <v>45.738773795</v>
      </c>
      <c r="E249" s="250"/>
      <c r="F249" s="250"/>
      <c r="G249" s="251"/>
      <c r="H249" s="251">
        <f t="shared" si="35"/>
        <v>45.738773795</v>
      </c>
      <c r="I249" s="258" t="s">
        <v>29</v>
      </c>
      <c r="J249" s="259">
        <v>288.5545</v>
      </c>
      <c r="K249" s="259">
        <f t="shared" si="41"/>
        <v>1585.1</v>
      </c>
      <c r="L249" s="260" t="s">
        <v>1021</v>
      </c>
      <c r="N249" s="259">
        <f t="shared" si="37"/>
        <v>1585.1</v>
      </c>
      <c r="O249" s="259">
        <f>629+75</f>
        <v>704</v>
      </c>
      <c r="P249" s="259">
        <f>P248</f>
        <v>300</v>
      </c>
      <c r="Q249" s="259">
        <f>149*3.9</f>
        <v>581.1</v>
      </c>
      <c r="R249" s="258"/>
      <c r="S249" s="258"/>
      <c r="T249" s="258"/>
    </row>
    <row r="250" s="171" customFormat="1" ht="21" customHeight="1" spans="2:20">
      <c r="B250" s="248" t="s">
        <v>45</v>
      </c>
      <c r="C250" s="245" t="s">
        <v>1024</v>
      </c>
      <c r="D250" s="250">
        <f t="shared" si="34"/>
        <v>0</v>
      </c>
      <c r="E250" s="250"/>
      <c r="F250" s="250"/>
      <c r="G250" s="251"/>
      <c r="H250" s="251">
        <f t="shared" si="35"/>
        <v>0</v>
      </c>
      <c r="I250" s="258"/>
      <c r="J250" s="259"/>
      <c r="K250" s="259"/>
      <c r="N250" s="259">
        <f t="shared" si="37"/>
        <v>0</v>
      </c>
      <c r="O250" s="258"/>
      <c r="P250" s="258"/>
      <c r="Q250" s="258"/>
      <c r="R250" s="258"/>
      <c r="S250" s="258"/>
      <c r="T250" s="258"/>
    </row>
    <row r="251" s="171" customFormat="1" ht="21" customHeight="1" spans="2:20">
      <c r="B251" s="248"/>
      <c r="C251" s="249" t="s">
        <v>1010</v>
      </c>
      <c r="D251" s="250">
        <f t="shared" si="34"/>
        <v>238.137852623353</v>
      </c>
      <c r="E251" s="250"/>
      <c r="F251" s="250"/>
      <c r="G251" s="251"/>
      <c r="H251" s="251">
        <f t="shared" si="35"/>
        <v>238.137852623353</v>
      </c>
      <c r="I251" s="258" t="s">
        <v>29</v>
      </c>
      <c r="J251" s="259">
        <v>1452.6726</v>
      </c>
      <c r="K251" s="259">
        <f>N251</f>
        <v>1639.3084899058</v>
      </c>
      <c r="L251" s="260" t="s">
        <v>1006</v>
      </c>
      <c r="N251" s="259">
        <f t="shared" si="37"/>
        <v>1639.3084899058</v>
      </c>
      <c r="O251" s="261">
        <v>629.308489905796</v>
      </c>
      <c r="P251" s="261">
        <f>P239</f>
        <v>300</v>
      </c>
      <c r="Q251" s="261">
        <f>Q239</f>
        <v>480</v>
      </c>
      <c r="R251" s="258">
        <f>(8200+1000)</f>
        <v>9200</v>
      </c>
      <c r="S251" s="258">
        <v>40</v>
      </c>
      <c r="T251" s="259">
        <f>R251/$S$236</f>
        <v>230</v>
      </c>
    </row>
    <row r="252" s="171" customFormat="1" ht="21" customHeight="1" spans="2:20">
      <c r="B252" s="248"/>
      <c r="C252" s="249" t="s">
        <v>1011</v>
      </c>
      <c r="D252" s="250">
        <f t="shared" si="34"/>
        <v>191.709728171857</v>
      </c>
      <c r="E252" s="250"/>
      <c r="F252" s="250"/>
      <c r="G252" s="251"/>
      <c r="H252" s="251">
        <f t="shared" si="35"/>
        <v>191.709728171857</v>
      </c>
      <c r="I252" s="258" t="s">
        <v>29</v>
      </c>
      <c r="J252" s="259">
        <v>1026</v>
      </c>
      <c r="K252" s="259">
        <f t="shared" ref="K252:K257" si="42">N252</f>
        <v>1868.51586912141</v>
      </c>
      <c r="L252" s="260" t="s">
        <v>1006</v>
      </c>
      <c r="N252" s="259">
        <f t="shared" si="37"/>
        <v>1868.51586912141</v>
      </c>
      <c r="O252" s="261">
        <v>679.115869121415</v>
      </c>
      <c r="P252" s="261">
        <f>P251</f>
        <v>300</v>
      </c>
      <c r="Q252" s="261">
        <f>Q240</f>
        <v>659.4</v>
      </c>
      <c r="R252" s="258">
        <f>(8200+1000)</f>
        <v>9200</v>
      </c>
      <c r="S252" s="258"/>
      <c r="T252" s="259">
        <f t="shared" ref="T252:T257" si="43">R252/$S$236</f>
        <v>230</v>
      </c>
    </row>
    <row r="253" s="171" customFormat="1" ht="21" customHeight="1" spans="2:20">
      <c r="B253" s="248"/>
      <c r="C253" s="249" t="s">
        <v>1014</v>
      </c>
      <c r="D253" s="250">
        <f t="shared" si="34"/>
        <v>242.188967670759</v>
      </c>
      <c r="E253" s="250"/>
      <c r="F253" s="250"/>
      <c r="G253" s="251"/>
      <c r="H253" s="251">
        <f t="shared" si="35"/>
        <v>242.188967670759</v>
      </c>
      <c r="I253" s="258" t="s">
        <v>29</v>
      </c>
      <c r="J253" s="259">
        <v>889</v>
      </c>
      <c r="K253" s="259">
        <f t="shared" si="42"/>
        <v>2724.28535062721</v>
      </c>
      <c r="L253" s="260" t="s">
        <v>1009</v>
      </c>
      <c r="N253" s="259">
        <f t="shared" si="37"/>
        <v>2724.28535062721</v>
      </c>
      <c r="O253" s="261">
        <v>1242.13535062721</v>
      </c>
      <c r="P253" s="261">
        <f t="shared" ref="P253:P257" si="44">P252</f>
        <v>300</v>
      </c>
      <c r="Q253" s="261">
        <f>Q242</f>
        <v>832.15</v>
      </c>
      <c r="R253" s="258">
        <f>(13000+1000)</f>
        <v>14000</v>
      </c>
      <c r="S253" s="258"/>
      <c r="T253" s="259">
        <f t="shared" si="43"/>
        <v>350</v>
      </c>
    </row>
    <row r="254" s="171" customFormat="1" ht="21" customHeight="1" spans="2:20">
      <c r="B254" s="248"/>
      <c r="C254" s="249" t="s">
        <v>1015</v>
      </c>
      <c r="D254" s="250">
        <f t="shared" si="34"/>
        <v>1233.4045552188</v>
      </c>
      <c r="E254" s="250"/>
      <c r="F254" s="250"/>
      <c r="G254" s="251"/>
      <c r="H254" s="251">
        <f t="shared" si="35"/>
        <v>1233.4045552188</v>
      </c>
      <c r="I254" s="258" t="s">
        <v>29</v>
      </c>
      <c r="J254" s="259">
        <v>3477</v>
      </c>
      <c r="K254" s="259">
        <f t="shared" si="42"/>
        <v>3547.32400120449</v>
      </c>
      <c r="L254" s="260" t="s">
        <v>1009</v>
      </c>
      <c r="N254" s="259">
        <f t="shared" si="37"/>
        <v>3547.32400120449</v>
      </c>
      <c r="O254" s="261">
        <f>O253*1.15*1.15</f>
        <v>1642.72400120449</v>
      </c>
      <c r="P254" s="261">
        <f t="shared" si="44"/>
        <v>300</v>
      </c>
      <c r="Q254" s="261">
        <f>Q243</f>
        <v>1084.6</v>
      </c>
      <c r="R254" s="258">
        <f>(19800+1000)</f>
        <v>20800</v>
      </c>
      <c r="S254" s="258"/>
      <c r="T254" s="259">
        <f t="shared" si="43"/>
        <v>520</v>
      </c>
    </row>
    <row r="255" s="171" customFormat="1" ht="21" customHeight="1" spans="2:20">
      <c r="B255" s="248"/>
      <c r="C255" s="249" t="s">
        <v>1018</v>
      </c>
      <c r="D255" s="250">
        <f t="shared" si="34"/>
        <v>4145.63700096874</v>
      </c>
      <c r="E255" s="250"/>
      <c r="F255" s="250"/>
      <c r="G255" s="251"/>
      <c r="H255" s="251">
        <f t="shared" si="35"/>
        <v>4145.63700096874</v>
      </c>
      <c r="I255" s="258" t="s">
        <v>29</v>
      </c>
      <c r="J255" s="259">
        <v>5119</v>
      </c>
      <c r="K255" s="259">
        <f t="shared" si="42"/>
        <v>8098.52901146462</v>
      </c>
      <c r="L255" s="260" t="s">
        <v>1025</v>
      </c>
      <c r="N255" s="259">
        <f t="shared" si="37"/>
        <v>8098.52901146462</v>
      </c>
      <c r="O255" s="261">
        <f>O254*1.4*1.15*1.15*1.15</f>
        <v>3497.72901146462</v>
      </c>
      <c r="P255" s="261">
        <f>P245</f>
        <v>2300</v>
      </c>
      <c r="Q255" s="261">
        <f>Q245</f>
        <v>1678.3</v>
      </c>
      <c r="R255" s="258">
        <f>(23900+1000)</f>
        <v>24900</v>
      </c>
      <c r="S255" s="258"/>
      <c r="T255" s="259">
        <f t="shared" si="43"/>
        <v>622.5</v>
      </c>
    </row>
    <row r="256" s="171" customFormat="1" ht="21" customHeight="1" spans="2:20">
      <c r="B256" s="248"/>
      <c r="C256" s="249" t="s">
        <v>1026</v>
      </c>
      <c r="D256" s="250">
        <f t="shared" si="34"/>
        <v>3428.58836370628</v>
      </c>
      <c r="E256" s="250"/>
      <c r="F256" s="250"/>
      <c r="G256" s="251"/>
      <c r="H256" s="251">
        <f t="shared" si="35"/>
        <v>3428.58836370628</v>
      </c>
      <c r="I256" s="258" t="s">
        <v>29</v>
      </c>
      <c r="J256" s="259">
        <v>3234</v>
      </c>
      <c r="K256" s="259">
        <f t="shared" si="42"/>
        <v>10601.6956206131</v>
      </c>
      <c r="L256" s="260" t="s">
        <v>1025</v>
      </c>
      <c r="N256" s="259">
        <f t="shared" si="37"/>
        <v>10601.6956206131</v>
      </c>
      <c r="O256" s="261">
        <f>O255*1.15*1.15*1.15</f>
        <v>5319.60861031125</v>
      </c>
      <c r="P256" s="261">
        <f t="shared" si="44"/>
        <v>2300</v>
      </c>
      <c r="Q256" s="261">
        <f>Q255*Q246*1.1*1.1</f>
        <v>2232.08701030185</v>
      </c>
      <c r="R256" s="258">
        <f>(29000+1000)</f>
        <v>30000</v>
      </c>
      <c r="S256" s="258"/>
      <c r="T256" s="259">
        <f t="shared" si="43"/>
        <v>750</v>
      </c>
    </row>
    <row r="257" s="171" customFormat="1" ht="21" customHeight="1" spans="2:20">
      <c r="B257" s="248"/>
      <c r="C257" s="249" t="s">
        <v>1027</v>
      </c>
      <c r="D257" s="250">
        <f t="shared" si="34"/>
        <v>5364.01258968902</v>
      </c>
      <c r="E257" s="250"/>
      <c r="F257" s="250"/>
      <c r="G257" s="251"/>
      <c r="H257" s="251">
        <f t="shared" si="35"/>
        <v>5364.01258968902</v>
      </c>
      <c r="I257" s="258" t="s">
        <v>29</v>
      </c>
      <c r="J257" s="259">
        <v>3422</v>
      </c>
      <c r="K257" s="259">
        <f t="shared" si="42"/>
        <v>15675.0806244565</v>
      </c>
      <c r="L257" s="260" t="s">
        <v>1028</v>
      </c>
      <c r="N257" s="259">
        <f t="shared" si="37"/>
        <v>15675.0806244565</v>
      </c>
      <c r="O257" s="261">
        <f>O256*1.4*1.15*1.15</f>
        <v>9849.25534199129</v>
      </c>
      <c r="P257" s="261">
        <f t="shared" si="44"/>
        <v>2300</v>
      </c>
      <c r="Q257" s="261">
        <f>Q256*1.1*1.1</f>
        <v>2700.82528246524</v>
      </c>
      <c r="R257" s="258">
        <f>(32000+1000)</f>
        <v>33000</v>
      </c>
      <c r="S257" s="258"/>
      <c r="T257" s="259">
        <f t="shared" si="43"/>
        <v>825</v>
      </c>
    </row>
    <row r="258" s="171" customFormat="1" ht="21" customHeight="1" spans="2:20">
      <c r="B258" s="248"/>
      <c r="C258" s="249" t="s">
        <v>1029</v>
      </c>
      <c r="D258" s="250">
        <v>32</v>
      </c>
      <c r="E258" s="250">
        <v>135</v>
      </c>
      <c r="F258" s="250">
        <f>E258*0.1</f>
        <v>13.5</v>
      </c>
      <c r="G258" s="251"/>
      <c r="H258" s="251">
        <f t="shared" si="35"/>
        <v>180.5</v>
      </c>
      <c r="I258" s="258" t="s">
        <v>863</v>
      </c>
      <c r="J258" s="259">
        <v>1</v>
      </c>
      <c r="K258" s="259"/>
      <c r="L258" s="260" t="s">
        <v>1030</v>
      </c>
      <c r="N258" s="259">
        <f t="shared" si="37"/>
        <v>0</v>
      </c>
      <c r="O258" s="261"/>
      <c r="P258" s="261"/>
      <c r="Q258" s="261"/>
      <c r="R258" s="258"/>
      <c r="S258" s="258"/>
      <c r="T258" s="258"/>
    </row>
    <row r="259" s="171" customFormat="1" ht="21" customHeight="1" spans="2:20">
      <c r="B259" s="248"/>
      <c r="C259" s="249" t="s">
        <v>1029</v>
      </c>
      <c r="D259" s="250">
        <v>40</v>
      </c>
      <c r="E259" s="250">
        <v>210</v>
      </c>
      <c r="F259" s="250">
        <f t="shared" ref="F259:F260" si="45">E259*0.1</f>
        <v>21</v>
      </c>
      <c r="G259" s="251"/>
      <c r="H259" s="251">
        <f t="shared" si="35"/>
        <v>271</v>
      </c>
      <c r="I259" s="258" t="s">
        <v>863</v>
      </c>
      <c r="J259" s="259">
        <v>1</v>
      </c>
      <c r="K259" s="259"/>
      <c r="L259" s="260" t="s">
        <v>1031</v>
      </c>
      <c r="N259" s="259">
        <f t="shared" si="37"/>
        <v>0</v>
      </c>
      <c r="O259" s="261"/>
      <c r="P259" s="261"/>
      <c r="Q259" s="261"/>
      <c r="R259" s="258"/>
      <c r="S259" s="258"/>
      <c r="T259" s="258"/>
    </row>
    <row r="260" s="171" customFormat="1" ht="21" customHeight="1" spans="2:20">
      <c r="B260" s="248"/>
      <c r="C260" s="249" t="s">
        <v>1029</v>
      </c>
      <c r="D260" s="250">
        <v>32</v>
      </c>
      <c r="E260" s="250">
        <v>135</v>
      </c>
      <c r="F260" s="250">
        <f t="shared" si="45"/>
        <v>13.5</v>
      </c>
      <c r="G260" s="251"/>
      <c r="H260" s="251">
        <f t="shared" si="35"/>
        <v>180.5</v>
      </c>
      <c r="I260" s="258" t="s">
        <v>863</v>
      </c>
      <c r="J260" s="259">
        <v>1</v>
      </c>
      <c r="K260" s="259"/>
      <c r="L260" s="260" t="s">
        <v>1030</v>
      </c>
      <c r="N260" s="259">
        <f t="shared" si="37"/>
        <v>0</v>
      </c>
      <c r="O260" s="261"/>
      <c r="P260" s="261"/>
      <c r="Q260" s="261"/>
      <c r="R260" s="258"/>
      <c r="S260" s="258"/>
      <c r="T260" s="258"/>
    </row>
    <row r="261" s="171" customFormat="1" ht="21" customHeight="1" spans="2:20">
      <c r="B261" s="248"/>
      <c r="C261" s="249" t="s">
        <v>1032</v>
      </c>
      <c r="D261" s="250">
        <f t="shared" si="34"/>
        <v>13</v>
      </c>
      <c r="E261" s="250"/>
      <c r="F261" s="250"/>
      <c r="G261" s="251"/>
      <c r="H261" s="251">
        <f t="shared" si="35"/>
        <v>13</v>
      </c>
      <c r="I261" s="258" t="s">
        <v>29</v>
      </c>
      <c r="J261" s="259">
        <v>50</v>
      </c>
      <c r="K261" s="259">
        <v>2600</v>
      </c>
      <c r="L261" s="260" t="s">
        <v>1028</v>
      </c>
      <c r="N261" s="259">
        <f t="shared" si="37"/>
        <v>0</v>
      </c>
      <c r="O261" s="261"/>
      <c r="P261" s="261"/>
      <c r="Q261" s="261"/>
      <c r="R261" s="258"/>
      <c r="S261" s="258"/>
      <c r="T261" s="258"/>
    </row>
    <row r="262" s="171" customFormat="1" ht="21" customHeight="1" spans="2:20">
      <c r="B262" s="248"/>
      <c r="C262" s="249" t="s">
        <v>1033</v>
      </c>
      <c r="D262" s="250">
        <f t="shared" si="34"/>
        <v>47</v>
      </c>
      <c r="E262" s="250"/>
      <c r="F262" s="250"/>
      <c r="G262" s="251"/>
      <c r="H262" s="251">
        <f t="shared" si="35"/>
        <v>47</v>
      </c>
      <c r="I262" s="258" t="s">
        <v>29</v>
      </c>
      <c r="J262" s="259">
        <v>100</v>
      </c>
      <c r="K262" s="259">
        <v>4700</v>
      </c>
      <c r="L262" s="260" t="s">
        <v>1028</v>
      </c>
      <c r="N262" s="259">
        <f t="shared" si="37"/>
        <v>0</v>
      </c>
      <c r="O262" s="261"/>
      <c r="P262" s="261"/>
      <c r="Q262" s="261"/>
      <c r="R262" s="258"/>
      <c r="S262" s="258"/>
      <c r="T262" s="258"/>
    </row>
    <row r="263" s="171" customFormat="1" ht="21" customHeight="1" spans="2:20">
      <c r="B263" s="248"/>
      <c r="C263" s="249" t="s">
        <v>1034</v>
      </c>
      <c r="D263" s="250">
        <f t="shared" si="34"/>
        <v>29.85</v>
      </c>
      <c r="E263" s="250"/>
      <c r="F263" s="250"/>
      <c r="G263" s="251"/>
      <c r="H263" s="251">
        <f t="shared" si="35"/>
        <v>29.85</v>
      </c>
      <c r="I263" s="258" t="s">
        <v>29</v>
      </c>
      <c r="J263" s="259">
        <v>50</v>
      </c>
      <c r="K263" s="259">
        <v>5970</v>
      </c>
      <c r="L263" s="260" t="s">
        <v>1028</v>
      </c>
      <c r="N263" s="259">
        <f t="shared" si="37"/>
        <v>0</v>
      </c>
      <c r="O263" s="261"/>
      <c r="P263" s="261"/>
      <c r="Q263" s="261"/>
      <c r="R263" s="258"/>
      <c r="S263" s="258"/>
      <c r="T263" s="258"/>
    </row>
    <row r="264" s="171" customFormat="1" ht="21" customHeight="1" spans="2:20">
      <c r="B264" s="248"/>
      <c r="C264" s="249" t="s">
        <v>1035</v>
      </c>
      <c r="D264" s="250">
        <f t="shared" si="34"/>
        <v>52</v>
      </c>
      <c r="E264" s="250"/>
      <c r="F264" s="250"/>
      <c r="G264" s="251"/>
      <c r="H264" s="251">
        <f t="shared" si="35"/>
        <v>52</v>
      </c>
      <c r="I264" s="258" t="s">
        <v>863</v>
      </c>
      <c r="J264" s="259">
        <v>2</v>
      </c>
      <c r="K264" s="259">
        <v>260000</v>
      </c>
      <c r="L264" s="260"/>
      <c r="N264" s="259">
        <f t="shared" si="37"/>
        <v>0</v>
      </c>
      <c r="O264" s="261"/>
      <c r="P264" s="261"/>
      <c r="Q264" s="261"/>
      <c r="R264" s="258"/>
      <c r="S264" s="258"/>
      <c r="T264" s="258"/>
    </row>
    <row r="265" s="171" customFormat="1" ht="21" customHeight="1" spans="2:20">
      <c r="B265" s="248"/>
      <c r="C265" s="249" t="s">
        <v>1036</v>
      </c>
      <c r="D265" s="250">
        <f t="shared" si="34"/>
        <v>136</v>
      </c>
      <c r="E265" s="250"/>
      <c r="F265" s="250"/>
      <c r="G265" s="251"/>
      <c r="H265" s="251">
        <f t="shared" si="35"/>
        <v>136</v>
      </c>
      <c r="I265" s="258" t="s">
        <v>863</v>
      </c>
      <c r="J265" s="279">
        <v>4</v>
      </c>
      <c r="K265" s="259">
        <v>340000</v>
      </c>
      <c r="L265" s="260"/>
      <c r="N265" s="259">
        <f t="shared" si="37"/>
        <v>0</v>
      </c>
      <c r="O265" s="261"/>
      <c r="P265" s="261"/>
      <c r="Q265" s="261"/>
      <c r="R265" s="258"/>
      <c r="S265" s="258"/>
      <c r="T265" s="258"/>
    </row>
    <row r="266" s="171" customFormat="1" ht="21" customHeight="1" spans="2:20">
      <c r="B266" s="248"/>
      <c r="C266" s="249" t="s">
        <v>1037</v>
      </c>
      <c r="D266" s="250">
        <f t="shared" si="34"/>
        <v>80</v>
      </c>
      <c r="E266" s="250"/>
      <c r="F266" s="250"/>
      <c r="G266" s="251"/>
      <c r="H266" s="251">
        <f t="shared" si="35"/>
        <v>80</v>
      </c>
      <c r="I266" s="258" t="s">
        <v>863</v>
      </c>
      <c r="J266" s="259">
        <v>2</v>
      </c>
      <c r="K266" s="259">
        <v>400000</v>
      </c>
      <c r="L266" s="260"/>
      <c r="N266" s="259">
        <f t="shared" si="37"/>
        <v>0</v>
      </c>
      <c r="O266" s="261"/>
      <c r="P266" s="261"/>
      <c r="Q266" s="261"/>
      <c r="R266" s="258"/>
      <c r="S266" s="258"/>
      <c r="T266" s="258"/>
    </row>
    <row r="267" s="171" customFormat="1" ht="21" customHeight="1" spans="2:20">
      <c r="B267" s="248"/>
      <c r="C267" s="249" t="s">
        <v>1038</v>
      </c>
      <c r="D267" s="250">
        <f t="shared" si="34"/>
        <v>1035.0896732</v>
      </c>
      <c r="E267" s="250"/>
      <c r="F267" s="250"/>
      <c r="G267" s="251"/>
      <c r="H267" s="251">
        <f t="shared" si="35"/>
        <v>1035.0896732</v>
      </c>
      <c r="I267" s="258" t="s">
        <v>283</v>
      </c>
      <c r="J267" s="259">
        <v>47049.5306</v>
      </c>
      <c r="K267" s="259">
        <v>220</v>
      </c>
      <c r="L267" s="260"/>
      <c r="N267" s="259">
        <f t="shared" si="37"/>
        <v>0</v>
      </c>
      <c r="O267" s="261"/>
      <c r="P267" s="261"/>
      <c r="Q267" s="261"/>
      <c r="R267" s="258"/>
      <c r="S267" s="258"/>
      <c r="T267" s="258"/>
    </row>
    <row r="268" s="171" customFormat="1" ht="21" customHeight="1" spans="2:20">
      <c r="B268" s="248"/>
      <c r="C268" s="249" t="s">
        <v>1039</v>
      </c>
      <c r="D268" s="250">
        <f t="shared" si="34"/>
        <v>1105.38339324</v>
      </c>
      <c r="E268" s="250"/>
      <c r="F268" s="250"/>
      <c r="G268" s="251"/>
      <c r="H268" s="251">
        <f t="shared" si="35"/>
        <v>1105.38339324</v>
      </c>
      <c r="I268" s="258" t="s">
        <v>283</v>
      </c>
      <c r="J268" s="259">
        <v>56397.1119</v>
      </c>
      <c r="K268" s="259">
        <v>196</v>
      </c>
      <c r="L268" s="260"/>
      <c r="N268" s="259">
        <f t="shared" si="37"/>
        <v>0</v>
      </c>
      <c r="O268" s="261"/>
      <c r="P268" s="261"/>
      <c r="Q268" s="261"/>
      <c r="R268" s="258"/>
      <c r="S268" s="258"/>
      <c r="T268" s="258"/>
    </row>
    <row r="269" s="171" customFormat="1" ht="21" customHeight="1" spans="2:20">
      <c r="B269" s="244" t="s">
        <v>1040</v>
      </c>
      <c r="C269" s="245" t="s">
        <v>1041</v>
      </c>
      <c r="D269" s="250">
        <f t="shared" si="34"/>
        <v>0</v>
      </c>
      <c r="E269" s="250"/>
      <c r="F269" s="250"/>
      <c r="G269" s="251"/>
      <c r="H269" s="251">
        <f t="shared" si="35"/>
        <v>0</v>
      </c>
      <c r="I269" s="258"/>
      <c r="J269" s="258"/>
      <c r="K269" s="259"/>
      <c r="L269" s="260"/>
      <c r="N269" s="259">
        <f t="shared" si="37"/>
        <v>0</v>
      </c>
      <c r="O269" s="261"/>
      <c r="P269" s="261"/>
      <c r="Q269" s="261"/>
      <c r="R269" s="258"/>
      <c r="S269" s="258"/>
      <c r="T269" s="258"/>
    </row>
    <row r="270" s="170" customFormat="1" ht="21" customHeight="1" spans="2:20">
      <c r="B270" s="244" t="s">
        <v>18</v>
      </c>
      <c r="C270" s="245" t="s">
        <v>997</v>
      </c>
      <c r="D270" s="250">
        <f t="shared" si="34"/>
        <v>0</v>
      </c>
      <c r="E270" s="250"/>
      <c r="F270" s="250"/>
      <c r="G270" s="251"/>
      <c r="H270" s="251">
        <f t="shared" si="35"/>
        <v>0</v>
      </c>
      <c r="I270" s="253"/>
      <c r="J270" s="253"/>
      <c r="K270" s="254"/>
      <c r="L270" s="255"/>
      <c r="N270" s="259">
        <f t="shared" si="37"/>
        <v>0</v>
      </c>
      <c r="O270" s="280"/>
      <c r="P270" s="280"/>
      <c r="Q270" s="280"/>
      <c r="R270" s="253"/>
      <c r="S270" s="253"/>
      <c r="T270" s="253"/>
    </row>
    <row r="271" s="171" customFormat="1" ht="21" customHeight="1" spans="2:20">
      <c r="B271" s="248"/>
      <c r="C271" s="249" t="s">
        <v>1007</v>
      </c>
      <c r="D271" s="250">
        <f t="shared" si="34"/>
        <v>10.7901228305314</v>
      </c>
      <c r="E271" s="250"/>
      <c r="F271" s="250"/>
      <c r="G271" s="251"/>
      <c r="H271" s="251">
        <f t="shared" si="35"/>
        <v>10.7901228305314</v>
      </c>
      <c r="I271" s="258" t="s">
        <v>29</v>
      </c>
      <c r="J271" s="258">
        <v>96</v>
      </c>
      <c r="K271" s="259">
        <f>N271</f>
        <v>1123.97112818035</v>
      </c>
      <c r="L271" s="260" t="s">
        <v>1006</v>
      </c>
      <c r="N271" s="259">
        <f t="shared" si="37"/>
        <v>1123.97112818035</v>
      </c>
      <c r="O271" s="261">
        <f>O237</f>
        <v>501.471128180354</v>
      </c>
      <c r="P271" s="261">
        <f>P254</f>
        <v>300</v>
      </c>
      <c r="Q271" s="261">
        <f>Q237</f>
        <v>180</v>
      </c>
      <c r="R271" s="258"/>
      <c r="S271" s="258"/>
      <c r="T271" s="259">
        <f>T237</f>
        <v>142.5</v>
      </c>
    </row>
    <row r="272" s="171" customFormat="1" ht="21" customHeight="1" spans="2:20">
      <c r="B272" s="248"/>
      <c r="C272" s="249" t="s">
        <v>1008</v>
      </c>
      <c r="D272" s="250">
        <f t="shared" si="34"/>
        <v>21.9335253770657</v>
      </c>
      <c r="E272" s="250"/>
      <c r="F272" s="250"/>
      <c r="G272" s="251"/>
      <c r="H272" s="251">
        <f t="shared" si="35"/>
        <v>21.9335253770657</v>
      </c>
      <c r="I272" s="258" t="s">
        <v>29</v>
      </c>
      <c r="J272" s="258">
        <v>126</v>
      </c>
      <c r="K272" s="259">
        <f t="shared" ref="K272:K276" si="46">N272</f>
        <v>1740.7559823068</v>
      </c>
      <c r="L272" s="260" t="s">
        <v>1009</v>
      </c>
      <c r="N272" s="259">
        <f t="shared" si="37"/>
        <v>1740.7559823068</v>
      </c>
      <c r="O272" s="261">
        <f>O238</f>
        <v>985.755982306802</v>
      </c>
      <c r="P272" s="261">
        <f>P271</f>
        <v>300</v>
      </c>
      <c r="Q272" s="261">
        <f>Q238</f>
        <v>300</v>
      </c>
      <c r="R272" s="258"/>
      <c r="S272" s="258"/>
      <c r="T272" s="259">
        <f>T238</f>
        <v>155</v>
      </c>
    </row>
    <row r="273" s="171" customFormat="1" ht="21" customHeight="1" spans="2:20">
      <c r="B273" s="248"/>
      <c r="C273" s="249" t="s">
        <v>1022</v>
      </c>
      <c r="D273" s="250">
        <f t="shared" si="34"/>
        <v>23.51733</v>
      </c>
      <c r="E273" s="250"/>
      <c r="F273" s="250"/>
      <c r="G273" s="251"/>
      <c r="H273" s="251">
        <f t="shared" si="35"/>
        <v>23.51733</v>
      </c>
      <c r="I273" s="258" t="s">
        <v>29</v>
      </c>
      <c r="J273" s="258">
        <v>183</v>
      </c>
      <c r="K273" s="259">
        <f t="shared" si="46"/>
        <v>1285.1</v>
      </c>
      <c r="L273" s="260" t="s">
        <v>1021</v>
      </c>
      <c r="N273" s="259">
        <f t="shared" si="37"/>
        <v>1285.1</v>
      </c>
      <c r="O273" s="261">
        <f>O248</f>
        <v>599</v>
      </c>
      <c r="P273" s="261">
        <f>P272</f>
        <v>300</v>
      </c>
      <c r="Q273" s="261">
        <f>Q248</f>
        <v>386.1</v>
      </c>
      <c r="R273" s="258"/>
      <c r="S273" s="258"/>
      <c r="T273" s="258"/>
    </row>
    <row r="274" s="171" customFormat="1" ht="21" customHeight="1" spans="2:20">
      <c r="B274" s="248"/>
      <c r="C274" s="249" t="s">
        <v>1010</v>
      </c>
      <c r="D274" s="250">
        <f t="shared" si="34"/>
        <v>118.111780943826</v>
      </c>
      <c r="E274" s="250"/>
      <c r="F274" s="250"/>
      <c r="G274" s="251"/>
      <c r="H274" s="251">
        <f t="shared" si="35"/>
        <v>118.111780943826</v>
      </c>
      <c r="I274" s="258" t="s">
        <v>29</v>
      </c>
      <c r="J274" s="259">
        <v>540.76</v>
      </c>
      <c r="K274" s="259">
        <f t="shared" si="46"/>
        <v>2184.1811699058</v>
      </c>
      <c r="L274" s="260" t="s">
        <v>1009</v>
      </c>
      <c r="N274" s="259">
        <f t="shared" si="37"/>
        <v>2184.1811699058</v>
      </c>
      <c r="O274" s="261">
        <f>O239</f>
        <v>1091.6811699058</v>
      </c>
      <c r="P274" s="261">
        <f>P273</f>
        <v>300</v>
      </c>
      <c r="Q274" s="261">
        <f>Q239</f>
        <v>480</v>
      </c>
      <c r="R274" s="258"/>
      <c r="S274" s="258"/>
      <c r="T274" s="259">
        <f>T239</f>
        <v>312.5</v>
      </c>
    </row>
    <row r="275" s="171" customFormat="1" ht="21" customHeight="1" spans="2:20">
      <c r="B275" s="248"/>
      <c r="C275" s="249" t="s">
        <v>1011</v>
      </c>
      <c r="D275" s="250">
        <f t="shared" si="34"/>
        <v>586.148319002821</v>
      </c>
      <c r="E275" s="250"/>
      <c r="F275" s="250"/>
      <c r="G275" s="251"/>
      <c r="H275" s="251">
        <f t="shared" si="35"/>
        <v>586.148319002821</v>
      </c>
      <c r="I275" s="258" t="s">
        <v>29</v>
      </c>
      <c r="J275" s="258">
        <v>1163</v>
      </c>
      <c r="K275" s="259">
        <f t="shared" si="46"/>
        <v>5039.96834912141</v>
      </c>
      <c r="L275" s="260" t="s">
        <v>1012</v>
      </c>
      <c r="N275" s="259">
        <f t="shared" si="37"/>
        <v>5039.96834912141</v>
      </c>
      <c r="O275" s="261">
        <f>O240</f>
        <v>1768.06834912141</v>
      </c>
      <c r="P275" s="261">
        <f>P257</f>
        <v>2300</v>
      </c>
      <c r="Q275" s="261">
        <f>Q252</f>
        <v>659.4</v>
      </c>
      <c r="R275" s="258"/>
      <c r="S275" s="258"/>
      <c r="T275" s="259">
        <f t="shared" ref="T275" si="47">T240</f>
        <v>312.5</v>
      </c>
    </row>
    <row r="276" s="171" customFormat="1" ht="21" customHeight="1" spans="2:20">
      <c r="B276" s="248"/>
      <c r="C276" s="249" t="s">
        <v>1014</v>
      </c>
      <c r="D276" s="250">
        <f t="shared" si="34"/>
        <v>15.7060089368189</v>
      </c>
      <c r="E276" s="250"/>
      <c r="F276" s="250"/>
      <c r="G276" s="251"/>
      <c r="H276" s="251">
        <f t="shared" si="35"/>
        <v>15.7060089368189</v>
      </c>
      <c r="I276" s="258" t="s">
        <v>29</v>
      </c>
      <c r="J276" s="258">
        <v>29</v>
      </c>
      <c r="K276" s="259">
        <f t="shared" si="46"/>
        <v>5415.86515062721</v>
      </c>
      <c r="L276" s="260" t="s">
        <v>1012</v>
      </c>
      <c r="N276" s="259">
        <f t="shared" si="37"/>
        <v>5415.86515062721</v>
      </c>
      <c r="O276" s="261">
        <f>O242</f>
        <v>1868.71515062721</v>
      </c>
      <c r="P276" s="261">
        <f>P275</f>
        <v>2300</v>
      </c>
      <c r="Q276" s="261">
        <f>Q253</f>
        <v>832.15</v>
      </c>
      <c r="R276" s="258"/>
      <c r="S276" s="258"/>
      <c r="T276" s="259">
        <f>T242</f>
        <v>415</v>
      </c>
    </row>
    <row r="277" s="171" customFormat="1" ht="21" customHeight="1" spans="2:20">
      <c r="B277" s="248"/>
      <c r="C277" s="249" t="s">
        <v>1042</v>
      </c>
      <c r="D277" s="250">
        <f t="shared" si="34"/>
        <v>950</v>
      </c>
      <c r="E277" s="250"/>
      <c r="F277" s="250"/>
      <c r="G277" s="251"/>
      <c r="H277" s="251">
        <f t="shared" si="35"/>
        <v>950</v>
      </c>
      <c r="I277" s="258" t="s">
        <v>29</v>
      </c>
      <c r="J277" s="258">
        <v>380</v>
      </c>
      <c r="K277" s="259">
        <v>25000</v>
      </c>
      <c r="L277" s="260"/>
      <c r="N277" s="259">
        <f t="shared" si="37"/>
        <v>0</v>
      </c>
      <c r="O277" s="261"/>
      <c r="P277" s="261"/>
      <c r="Q277" s="261"/>
      <c r="R277" s="258"/>
      <c r="S277" s="258"/>
      <c r="T277" s="258"/>
    </row>
    <row r="278" s="171" customFormat="1" ht="21" customHeight="1" spans="2:20">
      <c r="B278" s="248" t="s">
        <v>40</v>
      </c>
      <c r="C278" s="245" t="s">
        <v>1024</v>
      </c>
      <c r="D278" s="250">
        <f t="shared" si="34"/>
        <v>0</v>
      </c>
      <c r="E278" s="250"/>
      <c r="F278" s="250"/>
      <c r="G278" s="251"/>
      <c r="H278" s="251">
        <f t="shared" si="35"/>
        <v>0</v>
      </c>
      <c r="I278" s="258"/>
      <c r="J278" s="259"/>
      <c r="K278" s="259"/>
      <c r="L278" s="260"/>
      <c r="N278" s="259">
        <f t="shared" si="37"/>
        <v>0</v>
      </c>
      <c r="O278" s="261"/>
      <c r="P278" s="261"/>
      <c r="Q278" s="261"/>
      <c r="R278" s="258"/>
      <c r="S278" s="258"/>
      <c r="T278" s="258"/>
    </row>
    <row r="279" s="171" customFormat="1" ht="21" customHeight="1" spans="2:20">
      <c r="B279" s="248"/>
      <c r="C279" s="249" t="s">
        <v>1008</v>
      </c>
      <c r="D279" s="250">
        <f t="shared" si="34"/>
        <v>10.4804</v>
      </c>
      <c r="E279" s="250"/>
      <c r="F279" s="250"/>
      <c r="G279" s="251"/>
      <c r="H279" s="251">
        <f t="shared" si="35"/>
        <v>10.4804</v>
      </c>
      <c r="I279" s="258" t="s">
        <v>29</v>
      </c>
      <c r="J279" s="258">
        <v>76</v>
      </c>
      <c r="K279" s="259">
        <f>N279</f>
        <v>1379</v>
      </c>
      <c r="L279" s="260" t="s">
        <v>1043</v>
      </c>
      <c r="N279" s="259">
        <f t="shared" si="37"/>
        <v>1379</v>
      </c>
      <c r="O279" s="261">
        <v>549</v>
      </c>
      <c r="P279" s="261">
        <f>P274</f>
        <v>300</v>
      </c>
      <c r="Q279" s="261">
        <f>Q272</f>
        <v>300</v>
      </c>
      <c r="R279" s="258"/>
      <c r="S279" s="258"/>
      <c r="T279" s="259">
        <f>T251</f>
        <v>230</v>
      </c>
    </row>
    <row r="280" s="171" customFormat="1" ht="21" customHeight="1" spans="2:20">
      <c r="B280" s="248"/>
      <c r="C280" s="249" t="s">
        <v>1010</v>
      </c>
      <c r="D280" s="250">
        <f t="shared" si="34"/>
        <v>6.55723395962318</v>
      </c>
      <c r="E280" s="250"/>
      <c r="F280" s="250"/>
      <c r="G280" s="251"/>
      <c r="H280" s="251">
        <f t="shared" si="35"/>
        <v>6.55723395962318</v>
      </c>
      <c r="I280" s="258" t="s">
        <v>29</v>
      </c>
      <c r="J280" s="258">
        <v>40</v>
      </c>
      <c r="K280" s="259">
        <f t="shared" ref="K280:K286" si="48">N280</f>
        <v>1639.3084899058</v>
      </c>
      <c r="L280" s="260" t="s">
        <v>1043</v>
      </c>
      <c r="N280" s="259">
        <f t="shared" si="37"/>
        <v>1639.3084899058</v>
      </c>
      <c r="O280" s="261">
        <f>O251</f>
        <v>629.308489905796</v>
      </c>
      <c r="P280" s="261">
        <f>P279</f>
        <v>300</v>
      </c>
      <c r="Q280" s="261">
        <f>Q274</f>
        <v>480</v>
      </c>
      <c r="R280" s="258"/>
      <c r="S280" s="258"/>
      <c r="T280" s="259">
        <f>T279</f>
        <v>230</v>
      </c>
    </row>
    <row r="281" s="171" customFormat="1" ht="21" customHeight="1" spans="2:20">
      <c r="B281" s="248"/>
      <c r="C281" s="249" t="s">
        <v>1023</v>
      </c>
      <c r="D281" s="250">
        <f t="shared" si="34"/>
        <v>6.3404</v>
      </c>
      <c r="E281" s="250"/>
      <c r="F281" s="250"/>
      <c r="G281" s="251"/>
      <c r="H281" s="251">
        <f t="shared" si="35"/>
        <v>6.3404</v>
      </c>
      <c r="I281" s="258" t="s">
        <v>29</v>
      </c>
      <c r="J281" s="258">
        <v>40</v>
      </c>
      <c r="K281" s="259">
        <f t="shared" si="48"/>
        <v>1585.1</v>
      </c>
      <c r="L281" s="260" t="s">
        <v>1021</v>
      </c>
      <c r="N281" s="259">
        <f t="shared" si="37"/>
        <v>1585.1</v>
      </c>
      <c r="O281" s="261">
        <f>O249</f>
        <v>704</v>
      </c>
      <c r="P281" s="261">
        <f>P280</f>
        <v>300</v>
      </c>
      <c r="Q281" s="261">
        <f>Q249</f>
        <v>581.1</v>
      </c>
      <c r="R281" s="258"/>
      <c r="S281" s="258"/>
      <c r="T281" s="258"/>
    </row>
    <row r="282" s="171" customFormat="1" ht="21" customHeight="1" spans="2:20">
      <c r="B282" s="248"/>
      <c r="C282" s="249" t="s">
        <v>1011</v>
      </c>
      <c r="D282" s="250">
        <f t="shared" si="34"/>
        <v>8.96887617178279</v>
      </c>
      <c r="E282" s="250"/>
      <c r="F282" s="250"/>
      <c r="G282" s="251"/>
      <c r="H282" s="251">
        <f t="shared" si="35"/>
        <v>8.96887617178279</v>
      </c>
      <c r="I282" s="258" t="s">
        <v>29</v>
      </c>
      <c r="J282" s="258">
        <v>48</v>
      </c>
      <c r="K282" s="259">
        <f t="shared" si="48"/>
        <v>1868.51586912141</v>
      </c>
      <c r="L282" s="260" t="s">
        <v>1006</v>
      </c>
      <c r="N282" s="259">
        <f t="shared" si="37"/>
        <v>1868.51586912141</v>
      </c>
      <c r="O282" s="261">
        <f>O252</f>
        <v>679.115869121415</v>
      </c>
      <c r="P282" s="261">
        <f t="shared" ref="P282:P283" si="49">P281</f>
        <v>300</v>
      </c>
      <c r="Q282" s="261">
        <f>Q275</f>
        <v>659.4</v>
      </c>
      <c r="R282" s="258"/>
      <c r="S282" s="258"/>
      <c r="T282" s="259">
        <f>T252</f>
        <v>230</v>
      </c>
    </row>
    <row r="283" s="171" customFormat="1" ht="21" customHeight="1" spans="2:20">
      <c r="B283" s="248"/>
      <c r="C283" s="249" t="s">
        <v>1014</v>
      </c>
      <c r="D283" s="250">
        <f t="shared" si="34"/>
        <v>378.40323520212</v>
      </c>
      <c r="E283" s="250"/>
      <c r="F283" s="250"/>
      <c r="G283" s="251"/>
      <c r="H283" s="251">
        <f t="shared" si="35"/>
        <v>378.40323520212</v>
      </c>
      <c r="I283" s="258" t="s">
        <v>29</v>
      </c>
      <c r="J283" s="258">
        <v>1389</v>
      </c>
      <c r="K283" s="259">
        <f t="shared" si="48"/>
        <v>2724.28535062721</v>
      </c>
      <c r="L283" s="260" t="s">
        <v>1009</v>
      </c>
      <c r="N283" s="259">
        <f t="shared" si="37"/>
        <v>2724.28535062721</v>
      </c>
      <c r="O283" s="261">
        <f t="shared" ref="O283:O285" si="50">O253</f>
        <v>1242.13535062721</v>
      </c>
      <c r="P283" s="261">
        <f t="shared" si="49"/>
        <v>300</v>
      </c>
      <c r="Q283" s="261">
        <f>Q276</f>
        <v>832.15</v>
      </c>
      <c r="R283" s="258"/>
      <c r="S283" s="258"/>
      <c r="T283" s="259">
        <f t="shared" ref="T283:T285" si="51">T253</f>
        <v>350</v>
      </c>
    </row>
    <row r="284" s="171" customFormat="1" ht="21" customHeight="1" spans="2:20">
      <c r="B284" s="248"/>
      <c r="C284" s="249" t="s">
        <v>1015</v>
      </c>
      <c r="D284" s="250">
        <f t="shared" si="34"/>
        <v>1111.68372984138</v>
      </c>
      <c r="E284" s="250"/>
      <c r="F284" s="250"/>
      <c r="G284" s="251"/>
      <c r="H284" s="251">
        <f t="shared" si="35"/>
        <v>1111.68372984138</v>
      </c>
      <c r="I284" s="258" t="s">
        <v>29</v>
      </c>
      <c r="J284" s="258">
        <v>2004</v>
      </c>
      <c r="K284" s="259">
        <f t="shared" si="48"/>
        <v>5547.32400120449</v>
      </c>
      <c r="L284" s="260" t="s">
        <v>1025</v>
      </c>
      <c r="N284" s="259">
        <f t="shared" si="37"/>
        <v>5547.32400120449</v>
      </c>
      <c r="O284" s="261">
        <f t="shared" si="50"/>
        <v>1642.72400120449</v>
      </c>
      <c r="P284" s="261">
        <f>P276</f>
        <v>2300</v>
      </c>
      <c r="Q284" s="261">
        <f>Q254</f>
        <v>1084.6</v>
      </c>
      <c r="R284" s="258"/>
      <c r="S284" s="258"/>
      <c r="T284" s="259">
        <f t="shared" si="51"/>
        <v>520</v>
      </c>
    </row>
    <row r="285" s="171" customFormat="1" ht="21" customHeight="1" spans="2:20">
      <c r="B285" s="248"/>
      <c r="C285" s="249" t="s">
        <v>1018</v>
      </c>
      <c r="D285" s="250">
        <f t="shared" si="34"/>
        <v>191.125284670565</v>
      </c>
      <c r="E285" s="250"/>
      <c r="F285" s="250"/>
      <c r="G285" s="251"/>
      <c r="H285" s="251">
        <f t="shared" si="35"/>
        <v>191.125284670565</v>
      </c>
      <c r="I285" s="258" t="s">
        <v>29</v>
      </c>
      <c r="J285" s="258">
        <v>236</v>
      </c>
      <c r="K285" s="259">
        <f t="shared" si="48"/>
        <v>8098.52901146462</v>
      </c>
      <c r="L285" s="260" t="s">
        <v>1025</v>
      </c>
      <c r="N285" s="259">
        <f t="shared" si="37"/>
        <v>8098.52901146462</v>
      </c>
      <c r="O285" s="261">
        <f t="shared" si="50"/>
        <v>3497.72901146462</v>
      </c>
      <c r="P285" s="261">
        <f>P284</f>
        <v>2300</v>
      </c>
      <c r="Q285" s="261">
        <f>Q255</f>
        <v>1678.3</v>
      </c>
      <c r="R285" s="258"/>
      <c r="S285" s="258"/>
      <c r="T285" s="259">
        <f t="shared" si="51"/>
        <v>622.5</v>
      </c>
    </row>
    <row r="286" s="171" customFormat="1" ht="21" customHeight="1" spans="2:20">
      <c r="B286" s="248"/>
      <c r="C286" s="249" t="s">
        <v>1027</v>
      </c>
      <c r="D286" s="250">
        <f t="shared" si="34"/>
        <v>1130.17331302332</v>
      </c>
      <c r="E286" s="250"/>
      <c r="F286" s="250"/>
      <c r="G286" s="251"/>
      <c r="H286" s="251">
        <f t="shared" si="35"/>
        <v>1130.17331302332</v>
      </c>
      <c r="I286" s="258" t="s">
        <v>29</v>
      </c>
      <c r="J286" s="258">
        <v>721</v>
      </c>
      <c r="K286" s="259">
        <f t="shared" si="48"/>
        <v>15675.0806244565</v>
      </c>
      <c r="L286" s="260" t="s">
        <v>1028</v>
      </c>
      <c r="N286" s="259">
        <f t="shared" si="37"/>
        <v>15675.0806244565</v>
      </c>
      <c r="O286" s="261">
        <f>O257</f>
        <v>9849.25534199129</v>
      </c>
      <c r="P286" s="261">
        <f>P285</f>
        <v>2300</v>
      </c>
      <c r="Q286" s="261">
        <f>Q257</f>
        <v>2700.82528246524</v>
      </c>
      <c r="R286" s="258"/>
      <c r="S286" s="258"/>
      <c r="T286" s="259">
        <f>T257</f>
        <v>825</v>
      </c>
    </row>
    <row r="287" s="172" customFormat="1" ht="21" customHeight="1" spans="2:20">
      <c r="B287" s="264"/>
      <c r="C287" s="265" t="s">
        <v>1044</v>
      </c>
      <c r="D287" s="266">
        <f t="shared" si="34"/>
        <v>27.44</v>
      </c>
      <c r="E287" s="266"/>
      <c r="F287" s="266"/>
      <c r="G287" s="267"/>
      <c r="H287" s="267">
        <f t="shared" si="35"/>
        <v>27.44</v>
      </c>
      <c r="I287" s="281" t="s">
        <v>29</v>
      </c>
      <c r="J287" s="281">
        <v>28</v>
      </c>
      <c r="K287" s="279">
        <v>9800</v>
      </c>
      <c r="L287" s="282" t="s">
        <v>1028</v>
      </c>
      <c r="M287" s="283" t="s">
        <v>1045</v>
      </c>
      <c r="N287" s="259">
        <f t="shared" si="37"/>
        <v>0</v>
      </c>
      <c r="O287" s="284"/>
      <c r="P287" s="284"/>
      <c r="Q287" s="284"/>
      <c r="R287" s="281"/>
      <c r="S287" s="281"/>
      <c r="T287" s="281"/>
    </row>
    <row r="288" s="171" customFormat="1" ht="21" customHeight="1" spans="2:20">
      <c r="B288" s="248"/>
      <c r="C288" s="249" t="s">
        <v>1046</v>
      </c>
      <c r="D288" s="250">
        <f t="shared" si="34"/>
        <v>14.4</v>
      </c>
      <c r="E288" s="250"/>
      <c r="F288" s="250"/>
      <c r="G288" s="251"/>
      <c r="H288" s="251">
        <f t="shared" si="35"/>
        <v>14.4</v>
      </c>
      <c r="I288" s="258" t="s">
        <v>29</v>
      </c>
      <c r="J288" s="258">
        <v>40</v>
      </c>
      <c r="K288" s="259">
        <v>3600</v>
      </c>
      <c r="L288" s="260" t="s">
        <v>1028</v>
      </c>
      <c r="N288" s="259">
        <f t="shared" si="37"/>
        <v>0</v>
      </c>
      <c r="O288" s="261"/>
      <c r="P288" s="261"/>
      <c r="Q288" s="261"/>
      <c r="R288" s="258"/>
      <c r="S288" s="258"/>
      <c r="T288" s="258"/>
    </row>
    <row r="289" s="171" customFormat="1" ht="21" customHeight="1" spans="2:20">
      <c r="B289" s="248"/>
      <c r="C289" s="249" t="s">
        <v>1047</v>
      </c>
      <c r="D289" s="250">
        <f t="shared" si="34"/>
        <v>31.8</v>
      </c>
      <c r="E289" s="250"/>
      <c r="F289" s="250"/>
      <c r="G289" s="251"/>
      <c r="H289" s="251">
        <f t="shared" si="35"/>
        <v>31.8</v>
      </c>
      <c r="I289" s="258" t="s">
        <v>29</v>
      </c>
      <c r="J289" s="258">
        <v>60</v>
      </c>
      <c r="K289" s="259">
        <v>5300</v>
      </c>
      <c r="L289" s="260" t="s">
        <v>1028</v>
      </c>
      <c r="N289" s="259">
        <f t="shared" si="37"/>
        <v>0</v>
      </c>
      <c r="O289" s="261"/>
      <c r="P289" s="261"/>
      <c r="Q289" s="261"/>
      <c r="R289" s="258"/>
      <c r="S289" s="258"/>
      <c r="T289" s="258"/>
    </row>
    <row r="290" s="171" customFormat="1" ht="21" customHeight="1" spans="2:20">
      <c r="B290" s="248"/>
      <c r="C290" s="249" t="s">
        <v>1048</v>
      </c>
      <c r="D290" s="250">
        <f t="shared" si="34"/>
        <v>19.88</v>
      </c>
      <c r="E290" s="250"/>
      <c r="F290" s="250"/>
      <c r="G290" s="251"/>
      <c r="H290" s="251">
        <f t="shared" si="35"/>
        <v>19.88</v>
      </c>
      <c r="I290" s="258" t="s">
        <v>29</v>
      </c>
      <c r="J290" s="258">
        <v>28</v>
      </c>
      <c r="K290" s="259">
        <v>7100</v>
      </c>
      <c r="L290" s="260" t="s">
        <v>1028</v>
      </c>
      <c r="N290" s="259">
        <f t="shared" si="37"/>
        <v>0</v>
      </c>
      <c r="O290" s="261"/>
      <c r="P290" s="261"/>
      <c r="Q290" s="261"/>
      <c r="R290" s="258"/>
      <c r="S290" s="258"/>
      <c r="T290" s="258"/>
    </row>
    <row r="291" s="171" customFormat="1" ht="21" customHeight="1" spans="2:20">
      <c r="B291" s="248"/>
      <c r="C291" s="249" t="s">
        <v>1049</v>
      </c>
      <c r="D291" s="250">
        <f t="shared" si="34"/>
        <v>60</v>
      </c>
      <c r="E291" s="250"/>
      <c r="F291" s="250"/>
      <c r="G291" s="251"/>
      <c r="H291" s="251">
        <f t="shared" si="35"/>
        <v>60</v>
      </c>
      <c r="I291" s="258" t="s">
        <v>863</v>
      </c>
      <c r="J291" s="258">
        <v>2</v>
      </c>
      <c r="K291" s="259">
        <v>300000</v>
      </c>
      <c r="L291" s="260"/>
      <c r="N291" s="259">
        <f t="shared" si="37"/>
        <v>0</v>
      </c>
      <c r="O291" s="261"/>
      <c r="P291" s="261"/>
      <c r="Q291" s="261"/>
      <c r="R291" s="258"/>
      <c r="S291" s="258"/>
      <c r="T291" s="258"/>
    </row>
    <row r="292" s="171" customFormat="1" ht="21" customHeight="1" spans="2:20">
      <c r="B292" s="248"/>
      <c r="C292" s="249" t="s">
        <v>1050</v>
      </c>
      <c r="D292" s="250">
        <f t="shared" si="34"/>
        <v>70</v>
      </c>
      <c r="E292" s="250"/>
      <c r="F292" s="250"/>
      <c r="G292" s="251"/>
      <c r="H292" s="251">
        <f t="shared" si="35"/>
        <v>70</v>
      </c>
      <c r="I292" s="258" t="s">
        <v>863</v>
      </c>
      <c r="J292" s="258">
        <v>2</v>
      </c>
      <c r="K292" s="259">
        <v>350000</v>
      </c>
      <c r="L292" s="260"/>
      <c r="N292" s="259">
        <f t="shared" si="37"/>
        <v>0</v>
      </c>
      <c r="O292" s="261"/>
      <c r="P292" s="261"/>
      <c r="Q292" s="261"/>
      <c r="R292" s="258"/>
      <c r="S292" s="258"/>
      <c r="T292" s="258"/>
    </row>
    <row r="293" s="171" customFormat="1" ht="21" customHeight="1" spans="2:20">
      <c r="B293" s="248"/>
      <c r="C293" s="249" t="s">
        <v>1051</v>
      </c>
      <c r="D293" s="250">
        <f t="shared" si="34"/>
        <v>90</v>
      </c>
      <c r="E293" s="250"/>
      <c r="F293" s="250"/>
      <c r="G293" s="251"/>
      <c r="H293" s="251">
        <f t="shared" si="35"/>
        <v>90</v>
      </c>
      <c r="I293" s="258" t="s">
        <v>863</v>
      </c>
      <c r="J293" s="258">
        <v>2</v>
      </c>
      <c r="K293" s="259">
        <v>450000</v>
      </c>
      <c r="L293" s="260"/>
      <c r="N293" s="259">
        <f t="shared" si="37"/>
        <v>0</v>
      </c>
      <c r="O293" s="261"/>
      <c r="P293" s="261"/>
      <c r="Q293" s="261"/>
      <c r="R293" s="258"/>
      <c r="S293" s="258"/>
      <c r="T293" s="258"/>
    </row>
    <row r="294" s="171" customFormat="1" ht="21" customHeight="1" spans="2:20">
      <c r="B294" s="248"/>
      <c r="C294" s="249" t="s">
        <v>1052</v>
      </c>
      <c r="D294" s="250">
        <f t="shared" si="34"/>
        <v>317.185</v>
      </c>
      <c r="E294" s="250"/>
      <c r="F294" s="250"/>
      <c r="G294" s="251"/>
      <c r="H294" s="251">
        <f t="shared" si="35"/>
        <v>317.185</v>
      </c>
      <c r="I294" s="258" t="s">
        <v>29</v>
      </c>
      <c r="J294" s="258">
        <v>5767</v>
      </c>
      <c r="K294" s="259">
        <v>550</v>
      </c>
      <c r="L294" s="260"/>
      <c r="N294" s="259">
        <f t="shared" si="37"/>
        <v>0</v>
      </c>
      <c r="O294" s="261"/>
      <c r="P294" s="261"/>
      <c r="Q294" s="261"/>
      <c r="R294" s="258"/>
      <c r="S294" s="258"/>
      <c r="T294" s="258"/>
    </row>
    <row r="295" s="171" customFormat="1" ht="21" customHeight="1" spans="2:20">
      <c r="B295" s="248"/>
      <c r="C295" s="249" t="s">
        <v>1053</v>
      </c>
      <c r="D295" s="250">
        <f t="shared" si="34"/>
        <v>59.345</v>
      </c>
      <c r="E295" s="250"/>
      <c r="F295" s="250"/>
      <c r="G295" s="251"/>
      <c r="H295" s="251">
        <f t="shared" si="35"/>
        <v>59.345</v>
      </c>
      <c r="I295" s="258" t="s">
        <v>29</v>
      </c>
      <c r="J295" s="258">
        <v>1079</v>
      </c>
      <c r="K295" s="259">
        <v>550</v>
      </c>
      <c r="L295" s="260"/>
      <c r="N295" s="259">
        <f t="shared" si="37"/>
        <v>0</v>
      </c>
      <c r="O295" s="261"/>
      <c r="P295" s="261"/>
      <c r="Q295" s="261"/>
      <c r="R295" s="258"/>
      <c r="S295" s="258"/>
      <c r="T295" s="258"/>
    </row>
    <row r="296" s="171" customFormat="1" ht="21" customHeight="1" spans="2:12">
      <c r="B296" s="248"/>
      <c r="C296" s="249" t="s">
        <v>1038</v>
      </c>
      <c r="D296" s="250">
        <f t="shared" si="34"/>
        <v>377.96</v>
      </c>
      <c r="E296" s="250"/>
      <c r="F296" s="250"/>
      <c r="G296" s="251"/>
      <c r="H296" s="251">
        <f t="shared" si="35"/>
        <v>377.96</v>
      </c>
      <c r="I296" s="258" t="s">
        <v>283</v>
      </c>
      <c r="J296" s="258">
        <v>17180</v>
      </c>
      <c r="K296" s="259">
        <v>220</v>
      </c>
      <c r="L296" s="260"/>
    </row>
    <row r="297" s="171" customFormat="1" ht="21" customHeight="1" spans="2:12">
      <c r="B297" s="248"/>
      <c r="C297" s="249" t="s">
        <v>1039</v>
      </c>
      <c r="D297" s="250">
        <f t="shared" si="34"/>
        <v>160.72</v>
      </c>
      <c r="E297" s="250"/>
      <c r="F297" s="250"/>
      <c r="G297" s="251"/>
      <c r="H297" s="251">
        <f t="shared" si="35"/>
        <v>160.72</v>
      </c>
      <c r="I297" s="258" t="s">
        <v>283</v>
      </c>
      <c r="J297" s="258">
        <v>8200</v>
      </c>
      <c r="K297" s="259">
        <v>196</v>
      </c>
      <c r="L297" s="260"/>
    </row>
    <row r="298" s="171" customFormat="1" ht="21" customHeight="1" spans="2:12">
      <c r="B298" s="248"/>
      <c r="C298" s="249" t="s">
        <v>1054</v>
      </c>
      <c r="D298" s="250">
        <f t="shared" si="34"/>
        <v>217.224</v>
      </c>
      <c r="E298" s="250"/>
      <c r="F298" s="250"/>
      <c r="G298" s="251"/>
      <c r="H298" s="251">
        <f t="shared" si="35"/>
        <v>217.224</v>
      </c>
      <c r="I298" s="258" t="s">
        <v>283</v>
      </c>
      <c r="J298" s="258">
        <v>18102</v>
      </c>
      <c r="K298" s="259">
        <v>120</v>
      </c>
      <c r="L298" s="260"/>
    </row>
    <row r="299" s="171" customFormat="1" ht="21" customHeight="1" spans="2:12">
      <c r="B299" s="248"/>
      <c r="C299" s="249" t="s">
        <v>1055</v>
      </c>
      <c r="D299" s="250">
        <f t="shared" si="34"/>
        <v>229.96</v>
      </c>
      <c r="E299" s="250"/>
      <c r="F299" s="250"/>
      <c r="G299" s="251"/>
      <c r="H299" s="251">
        <f t="shared" si="35"/>
        <v>229.96</v>
      </c>
      <c r="I299" s="258" t="s">
        <v>283</v>
      </c>
      <c r="J299" s="258">
        <v>11498</v>
      </c>
      <c r="K299" s="259">
        <v>200</v>
      </c>
      <c r="L299" s="260"/>
    </row>
    <row r="300" s="171" customFormat="1" ht="21" customHeight="1" spans="2:12">
      <c r="B300" s="248"/>
      <c r="C300" s="249" t="s">
        <v>1056</v>
      </c>
      <c r="D300" s="250">
        <f t="shared" si="34"/>
        <v>21.6</v>
      </c>
      <c r="E300" s="250"/>
      <c r="F300" s="250"/>
      <c r="G300" s="251"/>
      <c r="H300" s="251">
        <f t="shared" si="35"/>
        <v>21.6</v>
      </c>
      <c r="I300" s="258" t="s">
        <v>863</v>
      </c>
      <c r="J300" s="258">
        <v>360</v>
      </c>
      <c r="K300" s="259">
        <v>600</v>
      </c>
      <c r="L300" s="260"/>
    </row>
    <row r="301" s="171" customFormat="1" ht="21" customHeight="1" spans="2:12">
      <c r="B301" s="248"/>
      <c r="C301" s="249" t="s">
        <v>1057</v>
      </c>
      <c r="D301" s="250">
        <f t="shared" si="34"/>
        <v>24</v>
      </c>
      <c r="E301" s="250"/>
      <c r="F301" s="250"/>
      <c r="G301" s="251"/>
      <c r="H301" s="251">
        <f t="shared" si="35"/>
        <v>24</v>
      </c>
      <c r="I301" s="258" t="s">
        <v>863</v>
      </c>
      <c r="J301" s="258">
        <v>240</v>
      </c>
      <c r="K301" s="259">
        <v>1000</v>
      </c>
      <c r="L301" s="260"/>
    </row>
    <row r="302" s="171" customFormat="1" ht="21" customHeight="1" spans="2:12">
      <c r="B302" s="248"/>
      <c r="C302" s="249" t="s">
        <v>1058</v>
      </c>
      <c r="D302" s="250">
        <f t="shared" si="34"/>
        <v>468</v>
      </c>
      <c r="E302" s="250"/>
      <c r="F302" s="250"/>
      <c r="G302" s="251"/>
      <c r="H302" s="251">
        <f t="shared" si="35"/>
        <v>468</v>
      </c>
      <c r="I302" s="258" t="s">
        <v>863</v>
      </c>
      <c r="J302" s="258">
        <v>6000</v>
      </c>
      <c r="K302" s="259">
        <v>780</v>
      </c>
      <c r="L302" s="260"/>
    </row>
    <row r="303" s="171" customFormat="1" ht="21" customHeight="1" spans="2:12">
      <c r="B303" s="248"/>
      <c r="C303" s="249" t="s">
        <v>1059</v>
      </c>
      <c r="D303" s="250">
        <f t="shared" ref="D303:D304" si="52">J303*K303/10000</f>
        <v>33.3</v>
      </c>
      <c r="E303" s="250"/>
      <c r="F303" s="250"/>
      <c r="G303" s="251"/>
      <c r="H303" s="251">
        <f t="shared" ref="H303:H304" si="53">SUM(D303:G303)</f>
        <v>33.3</v>
      </c>
      <c r="I303" s="258" t="s">
        <v>863</v>
      </c>
      <c r="J303" s="258">
        <v>666</v>
      </c>
      <c r="K303" s="259">
        <v>500</v>
      </c>
      <c r="L303" s="260"/>
    </row>
    <row r="304" s="171" customFormat="1" ht="21" customHeight="1" spans="2:12">
      <c r="B304" s="248"/>
      <c r="C304" s="249" t="s">
        <v>1060</v>
      </c>
      <c r="D304" s="250">
        <f t="shared" si="52"/>
        <v>315</v>
      </c>
      <c r="E304" s="250"/>
      <c r="F304" s="250"/>
      <c r="G304" s="251"/>
      <c r="H304" s="251">
        <f t="shared" si="53"/>
        <v>315</v>
      </c>
      <c r="I304" s="258" t="s">
        <v>863</v>
      </c>
      <c r="J304" s="258">
        <v>210</v>
      </c>
      <c r="K304" s="259">
        <v>15000</v>
      </c>
      <c r="L304" s="260"/>
    </row>
    <row r="305" s="171" customFormat="1" ht="21" customHeight="1" spans="2:12">
      <c r="B305" s="248"/>
      <c r="C305" s="249"/>
      <c r="D305" s="250"/>
      <c r="E305" s="250"/>
      <c r="F305" s="250"/>
      <c r="G305" s="251"/>
      <c r="H305" s="251"/>
      <c r="I305" s="258"/>
      <c r="J305" s="258"/>
      <c r="K305" s="259"/>
      <c r="L305" s="260"/>
    </row>
    <row r="306" s="171" customFormat="1" ht="21" customHeight="1" spans="2:12">
      <c r="B306" s="248"/>
      <c r="C306" s="249"/>
      <c r="D306" s="250"/>
      <c r="E306" s="250"/>
      <c r="F306" s="250"/>
      <c r="G306" s="251"/>
      <c r="H306" s="251"/>
      <c r="I306" s="258"/>
      <c r="J306" s="258"/>
      <c r="K306" s="259"/>
      <c r="L306" s="260"/>
    </row>
    <row r="307" s="171" customFormat="1" ht="21" customHeight="1" spans="2:12">
      <c r="B307" s="248"/>
      <c r="C307" s="249"/>
      <c r="D307" s="250"/>
      <c r="E307" s="250"/>
      <c r="F307" s="250"/>
      <c r="G307" s="251"/>
      <c r="H307" s="251"/>
      <c r="I307" s="258"/>
      <c r="J307" s="258"/>
      <c r="K307" s="259"/>
      <c r="L307" s="260"/>
    </row>
    <row r="308" s="171" customFormat="1" ht="21" customHeight="1" spans="2:12">
      <c r="B308" s="248"/>
      <c r="C308" s="249"/>
      <c r="D308" s="250"/>
      <c r="E308" s="250"/>
      <c r="F308" s="250"/>
      <c r="G308" s="251"/>
      <c r="H308" s="251"/>
      <c r="I308" s="258"/>
      <c r="J308" s="258"/>
      <c r="K308" s="259"/>
      <c r="L308" s="260"/>
    </row>
    <row r="309" s="171" customFormat="1" ht="21" customHeight="1" spans="2:12">
      <c r="B309" s="248"/>
      <c r="C309" s="249"/>
      <c r="D309" s="250"/>
      <c r="E309" s="250"/>
      <c r="F309" s="250"/>
      <c r="G309" s="251"/>
      <c r="H309" s="251"/>
      <c r="I309" s="258"/>
      <c r="J309" s="258"/>
      <c r="K309" s="259"/>
      <c r="L309" s="260"/>
    </row>
    <row r="310" s="171" customFormat="1" ht="21" customHeight="1" spans="2:12">
      <c r="B310" s="248"/>
      <c r="C310" s="249"/>
      <c r="D310" s="250"/>
      <c r="E310" s="250"/>
      <c r="F310" s="250"/>
      <c r="G310" s="251"/>
      <c r="H310" s="251"/>
      <c r="I310" s="258"/>
      <c r="J310" s="258"/>
      <c r="K310" s="259"/>
      <c r="L310" s="260"/>
    </row>
    <row r="311" s="171" customFormat="1" ht="21" customHeight="1" spans="2:12">
      <c r="B311" s="248"/>
      <c r="C311" s="249"/>
      <c r="D311" s="250"/>
      <c r="E311" s="250"/>
      <c r="F311" s="250"/>
      <c r="G311" s="251"/>
      <c r="H311" s="251"/>
      <c r="I311" s="258"/>
      <c r="J311" s="258"/>
      <c r="K311" s="259"/>
      <c r="L311" s="260"/>
    </row>
    <row r="312" s="171" customFormat="1" ht="21" customHeight="1" spans="2:12">
      <c r="B312" s="248"/>
      <c r="C312" s="249"/>
      <c r="D312" s="250"/>
      <c r="E312" s="250"/>
      <c r="F312" s="250"/>
      <c r="G312" s="251"/>
      <c r="H312" s="251"/>
      <c r="I312" s="258"/>
      <c r="J312" s="258"/>
      <c r="K312" s="259"/>
      <c r="L312" s="260"/>
    </row>
    <row r="313" s="171" customFormat="1" ht="21" customHeight="1" spans="2:12">
      <c r="B313" s="248"/>
      <c r="C313" s="249"/>
      <c r="D313" s="250"/>
      <c r="E313" s="250"/>
      <c r="F313" s="250"/>
      <c r="G313" s="251"/>
      <c r="H313" s="251"/>
      <c r="I313" s="258"/>
      <c r="J313" s="258"/>
      <c r="K313" s="259"/>
      <c r="L313" s="260"/>
    </row>
    <row r="314" s="171" customFormat="1" ht="21" customHeight="1" spans="2:12">
      <c r="B314" s="248"/>
      <c r="C314" s="249"/>
      <c r="D314" s="250"/>
      <c r="E314" s="250"/>
      <c r="F314" s="250"/>
      <c r="G314" s="251"/>
      <c r="H314" s="251"/>
      <c r="I314" s="258"/>
      <c r="J314" s="258"/>
      <c r="K314" s="259"/>
      <c r="L314" s="260"/>
    </row>
    <row r="315" s="173" customFormat="1" ht="21" customHeight="1" spans="2:12">
      <c r="B315" s="268"/>
      <c r="C315" s="269"/>
      <c r="D315" s="270"/>
      <c r="E315" s="270"/>
      <c r="F315" s="270"/>
      <c r="G315" s="271"/>
      <c r="H315" s="271"/>
      <c r="I315" s="285"/>
      <c r="J315" s="285"/>
      <c r="K315" s="286"/>
      <c r="L315" s="287"/>
    </row>
    <row r="316" s="174" customFormat="1" ht="21" customHeight="1" spans="2:12">
      <c r="B316" s="272" t="s">
        <v>993</v>
      </c>
      <c r="C316" s="273" t="s">
        <v>1061</v>
      </c>
      <c r="D316" s="274">
        <v>0</v>
      </c>
      <c r="E316" s="275"/>
      <c r="F316" s="275"/>
      <c r="G316" s="275"/>
      <c r="H316" s="276">
        <v>0</v>
      </c>
      <c r="I316" s="288"/>
      <c r="J316" s="288"/>
      <c r="K316" s="288"/>
      <c r="L316" s="289"/>
    </row>
    <row r="317" s="174" customFormat="1" ht="21" customHeight="1" spans="2:12">
      <c r="B317" s="277"/>
      <c r="C317" s="278" t="s">
        <v>1062</v>
      </c>
      <c r="D317" s="274">
        <f>J317*K317/10000</f>
        <v>490.1484</v>
      </c>
      <c r="E317" s="274"/>
      <c r="F317" s="274"/>
      <c r="G317" s="276"/>
      <c r="H317" s="276">
        <f>SUM(D317:G317)</f>
        <v>490.1484</v>
      </c>
      <c r="I317" s="290" t="s">
        <v>29</v>
      </c>
      <c r="J317" s="290">
        <v>5934</v>
      </c>
      <c r="K317" s="291">
        <v>826</v>
      </c>
      <c r="L317" s="292"/>
    </row>
    <row r="318" s="174" customFormat="1" ht="21" customHeight="1" spans="2:12">
      <c r="B318" s="277"/>
      <c r="C318" s="278" t="s">
        <v>1063</v>
      </c>
      <c r="D318" s="274">
        <f t="shared" ref="D318:D340" si="54">J318*K318/10000</f>
        <v>1736.4495</v>
      </c>
      <c r="E318" s="274"/>
      <c r="F318" s="274"/>
      <c r="G318" s="276"/>
      <c r="H318" s="276">
        <f t="shared" ref="H318:H340" si="55">SUM(D318:G318)</f>
        <v>1736.4495</v>
      </c>
      <c r="I318" s="290" t="s">
        <v>29</v>
      </c>
      <c r="J318" s="290">
        <v>16585</v>
      </c>
      <c r="K318" s="291">
        <v>1047</v>
      </c>
      <c r="L318" s="292"/>
    </row>
    <row r="319" s="174" customFormat="1" ht="21" customHeight="1" spans="2:12">
      <c r="B319" s="277"/>
      <c r="C319" s="278" t="s">
        <v>1064</v>
      </c>
      <c r="D319" s="274">
        <f t="shared" si="54"/>
        <v>1263.07666666667</v>
      </c>
      <c r="E319" s="274"/>
      <c r="F319" s="274"/>
      <c r="G319" s="276"/>
      <c r="H319" s="276">
        <f t="shared" si="55"/>
        <v>1263.07666666667</v>
      </c>
      <c r="I319" s="290" t="s">
        <v>29</v>
      </c>
      <c r="J319" s="290">
        <v>8350</v>
      </c>
      <c r="K319" s="291">
        <v>1512.66666666667</v>
      </c>
      <c r="L319" s="292"/>
    </row>
    <row r="320" s="174" customFormat="1" ht="21" customHeight="1" spans="2:12">
      <c r="B320" s="277"/>
      <c r="C320" s="278" t="s">
        <v>1065</v>
      </c>
      <c r="D320" s="274">
        <f t="shared" si="54"/>
        <v>1150.7718</v>
      </c>
      <c r="E320" s="274"/>
      <c r="F320" s="274"/>
      <c r="G320" s="276"/>
      <c r="H320" s="276">
        <f t="shared" si="55"/>
        <v>1150.7718</v>
      </c>
      <c r="I320" s="290" t="s">
        <v>29</v>
      </c>
      <c r="J320" s="290">
        <v>5514</v>
      </c>
      <c r="K320" s="291">
        <v>2087</v>
      </c>
      <c r="L320" s="292"/>
    </row>
    <row r="321" s="174" customFormat="1" ht="21" customHeight="1" spans="2:12">
      <c r="B321" s="277"/>
      <c r="C321" s="278" t="s">
        <v>1066</v>
      </c>
      <c r="D321" s="274">
        <f t="shared" si="54"/>
        <v>226.884</v>
      </c>
      <c r="E321" s="274"/>
      <c r="F321" s="274"/>
      <c r="G321" s="276"/>
      <c r="H321" s="276">
        <f t="shared" si="55"/>
        <v>226.884</v>
      </c>
      <c r="I321" s="290" t="s">
        <v>29</v>
      </c>
      <c r="J321" s="290">
        <v>876</v>
      </c>
      <c r="K321" s="291">
        <v>2590</v>
      </c>
      <c r="L321" s="292"/>
    </row>
    <row r="322" s="174" customFormat="1" ht="21" customHeight="1" spans="2:12">
      <c r="B322" s="277"/>
      <c r="C322" s="278" t="s">
        <v>1067</v>
      </c>
      <c r="D322" s="274">
        <f t="shared" si="54"/>
        <v>2140.38</v>
      </c>
      <c r="E322" s="274"/>
      <c r="F322" s="274"/>
      <c r="G322" s="276"/>
      <c r="H322" s="276">
        <f t="shared" si="55"/>
        <v>2140.38</v>
      </c>
      <c r="I322" s="290" t="s">
        <v>29</v>
      </c>
      <c r="J322" s="290">
        <v>6204</v>
      </c>
      <c r="K322" s="291">
        <v>3450</v>
      </c>
      <c r="L322" s="292"/>
    </row>
    <row r="323" s="174" customFormat="1" ht="21" customHeight="1" spans="2:12">
      <c r="B323" s="277"/>
      <c r="C323" s="278" t="s">
        <v>1068</v>
      </c>
      <c r="D323" s="274">
        <f t="shared" si="54"/>
        <v>2542.64693333333</v>
      </c>
      <c r="E323" s="274"/>
      <c r="F323" s="274"/>
      <c r="G323" s="276"/>
      <c r="H323" s="276">
        <f t="shared" si="55"/>
        <v>2542.64693333333</v>
      </c>
      <c r="I323" s="290" t="s">
        <v>29</v>
      </c>
      <c r="J323" s="290">
        <v>6052</v>
      </c>
      <c r="K323" s="291">
        <v>4201.33333333333</v>
      </c>
      <c r="L323" s="292"/>
    </row>
    <row r="324" s="174" customFormat="1" ht="21" customHeight="1" spans="2:12">
      <c r="B324" s="277"/>
      <c r="C324" s="278" t="s">
        <v>1069</v>
      </c>
      <c r="D324" s="274">
        <f t="shared" si="54"/>
        <v>1489.2626</v>
      </c>
      <c r="E324" s="274"/>
      <c r="F324" s="274"/>
      <c r="G324" s="276"/>
      <c r="H324" s="276">
        <f t="shared" si="55"/>
        <v>1489.2626</v>
      </c>
      <c r="I324" s="290" t="s">
        <v>29</v>
      </c>
      <c r="J324" s="290">
        <v>2814</v>
      </c>
      <c r="K324" s="291">
        <v>5292.33333333333</v>
      </c>
      <c r="L324" s="292"/>
    </row>
    <row r="325" s="174" customFormat="1" ht="21" customHeight="1" spans="2:12">
      <c r="B325" s="277"/>
      <c r="C325" s="293" t="s">
        <v>1070</v>
      </c>
      <c r="D325" s="274">
        <f t="shared" si="54"/>
        <v>2823.828</v>
      </c>
      <c r="E325" s="274"/>
      <c r="F325" s="274"/>
      <c r="G325" s="276"/>
      <c r="H325" s="276">
        <f t="shared" si="55"/>
        <v>2823.828</v>
      </c>
      <c r="I325" s="290" t="s">
        <v>1071</v>
      </c>
      <c r="J325" s="290">
        <v>134468</v>
      </c>
      <c r="K325" s="290">
        <v>210</v>
      </c>
      <c r="L325" s="289"/>
    </row>
    <row r="326" s="174" customFormat="1" ht="21" customHeight="1" spans="2:12">
      <c r="B326" s="277"/>
      <c r="C326" s="293" t="s">
        <v>1072</v>
      </c>
      <c r="D326" s="274">
        <f t="shared" si="54"/>
        <v>26.955</v>
      </c>
      <c r="E326" s="274"/>
      <c r="F326" s="274"/>
      <c r="G326" s="276"/>
      <c r="H326" s="276">
        <f t="shared" si="55"/>
        <v>26.955</v>
      </c>
      <c r="I326" s="290" t="s">
        <v>1071</v>
      </c>
      <c r="J326" s="290">
        <v>5391</v>
      </c>
      <c r="K326" s="290">
        <v>50</v>
      </c>
      <c r="L326" s="289"/>
    </row>
    <row r="327" s="174" customFormat="1" ht="21" customHeight="1" spans="2:12">
      <c r="B327" s="277"/>
      <c r="C327" s="278" t="s">
        <v>1073</v>
      </c>
      <c r="D327" s="274">
        <f t="shared" si="54"/>
        <v>94</v>
      </c>
      <c r="E327" s="274"/>
      <c r="F327" s="274"/>
      <c r="G327" s="276"/>
      <c r="H327" s="276">
        <f t="shared" si="55"/>
        <v>94</v>
      </c>
      <c r="I327" s="290" t="s">
        <v>29</v>
      </c>
      <c r="J327" s="290">
        <v>200</v>
      </c>
      <c r="K327" s="290">
        <v>4700</v>
      </c>
      <c r="L327" s="289"/>
    </row>
    <row r="328" s="174" customFormat="1" ht="21" customHeight="1" spans="2:12">
      <c r="B328" s="277"/>
      <c r="C328" s="278" t="s">
        <v>1074</v>
      </c>
      <c r="D328" s="274">
        <f t="shared" si="54"/>
        <v>21.6</v>
      </c>
      <c r="E328" s="274"/>
      <c r="F328" s="274"/>
      <c r="G328" s="276"/>
      <c r="H328" s="276">
        <f t="shared" si="55"/>
        <v>21.6</v>
      </c>
      <c r="I328" s="290" t="s">
        <v>29</v>
      </c>
      <c r="J328" s="290">
        <v>60</v>
      </c>
      <c r="K328" s="290">
        <v>3600</v>
      </c>
      <c r="L328" s="289"/>
    </row>
    <row r="329" s="174" customFormat="1" ht="21" customHeight="1" spans="2:12">
      <c r="B329" s="277"/>
      <c r="C329" s="278" t="s">
        <v>1075</v>
      </c>
      <c r="D329" s="274">
        <f t="shared" si="54"/>
        <v>27.5</v>
      </c>
      <c r="E329" s="274"/>
      <c r="F329" s="274"/>
      <c r="G329" s="276"/>
      <c r="H329" s="276">
        <f t="shared" si="55"/>
        <v>27.5</v>
      </c>
      <c r="I329" s="290" t="s">
        <v>29</v>
      </c>
      <c r="J329" s="290">
        <v>50</v>
      </c>
      <c r="K329" s="290">
        <v>5500</v>
      </c>
      <c r="L329" s="289"/>
    </row>
    <row r="330" s="174" customFormat="1" ht="21" customHeight="1" spans="2:12">
      <c r="B330" s="277"/>
      <c r="C330" s="278" t="s">
        <v>1076</v>
      </c>
      <c r="D330" s="274">
        <f t="shared" si="54"/>
        <v>12.15</v>
      </c>
      <c r="E330" s="274"/>
      <c r="F330" s="274"/>
      <c r="G330" s="276"/>
      <c r="H330" s="276">
        <f t="shared" si="55"/>
        <v>12.15</v>
      </c>
      <c r="I330" s="290" t="s">
        <v>29</v>
      </c>
      <c r="J330" s="290">
        <v>45</v>
      </c>
      <c r="K330" s="290">
        <v>2700</v>
      </c>
      <c r="L330" s="289"/>
    </row>
    <row r="331" s="174" customFormat="1" ht="21" customHeight="1" spans="2:12">
      <c r="B331" s="277"/>
      <c r="C331" s="278" t="s">
        <v>1062</v>
      </c>
      <c r="D331" s="274">
        <f t="shared" si="54"/>
        <v>62.5282</v>
      </c>
      <c r="E331" s="274"/>
      <c r="F331" s="274"/>
      <c r="G331" s="276"/>
      <c r="H331" s="276">
        <f t="shared" si="55"/>
        <v>62.5282</v>
      </c>
      <c r="I331" s="290" t="s">
        <v>29</v>
      </c>
      <c r="J331" s="290">
        <v>757</v>
      </c>
      <c r="K331" s="290">
        <v>826</v>
      </c>
      <c r="L331" s="292"/>
    </row>
    <row r="332" s="174" customFormat="1" ht="21" customHeight="1" spans="2:12">
      <c r="B332" s="277"/>
      <c r="C332" s="278" t="s">
        <v>1062</v>
      </c>
      <c r="D332" s="274">
        <f t="shared" si="54"/>
        <v>299.012</v>
      </c>
      <c r="E332" s="274"/>
      <c r="F332" s="274"/>
      <c r="G332" s="276"/>
      <c r="H332" s="276">
        <f t="shared" si="55"/>
        <v>299.012</v>
      </c>
      <c r="I332" s="290" t="s">
        <v>29</v>
      </c>
      <c r="J332" s="290">
        <v>3620</v>
      </c>
      <c r="K332" s="290">
        <v>826</v>
      </c>
      <c r="L332" s="292"/>
    </row>
    <row r="333" s="174" customFormat="1" ht="21" customHeight="1" spans="2:12">
      <c r="B333" s="277"/>
      <c r="C333" s="278" t="s">
        <v>1077</v>
      </c>
      <c r="D333" s="274">
        <f t="shared" si="54"/>
        <v>80</v>
      </c>
      <c r="E333" s="274"/>
      <c r="F333" s="274"/>
      <c r="G333" s="276"/>
      <c r="H333" s="276">
        <f t="shared" si="55"/>
        <v>80</v>
      </c>
      <c r="I333" s="300" t="s">
        <v>26</v>
      </c>
      <c r="J333" s="290">
        <v>2</v>
      </c>
      <c r="K333" s="290">
        <v>400000</v>
      </c>
      <c r="L333" s="289"/>
    </row>
    <row r="334" s="174" customFormat="1" ht="21" customHeight="1" spans="2:12">
      <c r="B334" s="277"/>
      <c r="C334" s="278" t="s">
        <v>1078</v>
      </c>
      <c r="D334" s="274">
        <f t="shared" si="54"/>
        <v>80</v>
      </c>
      <c r="E334" s="274"/>
      <c r="F334" s="274"/>
      <c r="G334" s="276"/>
      <c r="H334" s="276">
        <f t="shared" si="55"/>
        <v>80</v>
      </c>
      <c r="I334" s="300" t="s">
        <v>26</v>
      </c>
      <c r="J334" s="290">
        <v>2</v>
      </c>
      <c r="K334" s="290">
        <v>400000</v>
      </c>
      <c r="L334" s="289"/>
    </row>
    <row r="335" s="174" customFormat="1" ht="21" customHeight="1" spans="2:12">
      <c r="B335" s="277"/>
      <c r="C335" s="278" t="s">
        <v>1079</v>
      </c>
      <c r="D335" s="274">
        <f t="shared" si="54"/>
        <v>35</v>
      </c>
      <c r="E335" s="274"/>
      <c r="F335" s="274"/>
      <c r="G335" s="276"/>
      <c r="H335" s="276">
        <f t="shared" si="55"/>
        <v>35</v>
      </c>
      <c r="I335" s="300" t="s">
        <v>26</v>
      </c>
      <c r="J335" s="290">
        <v>1</v>
      </c>
      <c r="K335" s="290">
        <v>350000</v>
      </c>
      <c r="L335" s="289"/>
    </row>
    <row r="336" s="174" customFormat="1" ht="21" customHeight="1" spans="2:12">
      <c r="B336" s="277"/>
      <c r="C336" s="278" t="s">
        <v>1080</v>
      </c>
      <c r="D336" s="274">
        <f t="shared" si="54"/>
        <v>35</v>
      </c>
      <c r="E336" s="274"/>
      <c r="F336" s="274"/>
      <c r="G336" s="276"/>
      <c r="H336" s="276">
        <f t="shared" si="55"/>
        <v>35</v>
      </c>
      <c r="I336" s="300" t="s">
        <v>26</v>
      </c>
      <c r="J336" s="290">
        <v>1</v>
      </c>
      <c r="K336" s="290">
        <v>350000</v>
      </c>
      <c r="L336" s="289"/>
    </row>
    <row r="337" s="174" customFormat="1" ht="21" customHeight="1" spans="2:12">
      <c r="B337" s="277"/>
      <c r="C337" s="278" t="s">
        <v>1081</v>
      </c>
      <c r="D337" s="274">
        <f t="shared" si="54"/>
        <v>45</v>
      </c>
      <c r="E337" s="274"/>
      <c r="F337" s="274"/>
      <c r="G337" s="276"/>
      <c r="H337" s="276">
        <f t="shared" si="55"/>
        <v>45</v>
      </c>
      <c r="I337" s="300" t="s">
        <v>26</v>
      </c>
      <c r="J337" s="290">
        <v>1</v>
      </c>
      <c r="K337" s="290">
        <v>450000</v>
      </c>
      <c r="L337" s="289"/>
    </row>
    <row r="338" s="174" customFormat="1" ht="21" customHeight="1" spans="2:12">
      <c r="B338" s="277"/>
      <c r="C338" s="278" t="s">
        <v>1082</v>
      </c>
      <c r="D338" s="274">
        <f t="shared" si="54"/>
        <v>45</v>
      </c>
      <c r="E338" s="274"/>
      <c r="F338" s="274"/>
      <c r="G338" s="276"/>
      <c r="H338" s="276">
        <f t="shared" si="55"/>
        <v>45</v>
      </c>
      <c r="I338" s="300" t="s">
        <v>26</v>
      </c>
      <c r="J338" s="290">
        <v>1</v>
      </c>
      <c r="K338" s="290">
        <v>450000</v>
      </c>
      <c r="L338" s="289"/>
    </row>
    <row r="339" s="174" customFormat="1" ht="21" customHeight="1" spans="2:12">
      <c r="B339" s="277"/>
      <c r="C339" s="278" t="s">
        <v>1083</v>
      </c>
      <c r="D339" s="274">
        <f t="shared" si="54"/>
        <v>35</v>
      </c>
      <c r="E339" s="274"/>
      <c r="F339" s="274"/>
      <c r="G339" s="276"/>
      <c r="H339" s="276">
        <f t="shared" si="55"/>
        <v>35</v>
      </c>
      <c r="I339" s="300" t="s">
        <v>26</v>
      </c>
      <c r="J339" s="290">
        <v>1</v>
      </c>
      <c r="K339" s="290">
        <v>350000</v>
      </c>
      <c r="L339" s="289"/>
    </row>
    <row r="340" s="174" customFormat="1" ht="21" customHeight="1" spans="2:12">
      <c r="B340" s="277"/>
      <c r="C340" s="278" t="s">
        <v>1084</v>
      </c>
      <c r="D340" s="274">
        <f t="shared" si="54"/>
        <v>35</v>
      </c>
      <c r="E340" s="274"/>
      <c r="F340" s="274"/>
      <c r="G340" s="276"/>
      <c r="H340" s="276">
        <f t="shared" si="55"/>
        <v>35</v>
      </c>
      <c r="I340" s="300" t="s">
        <v>26</v>
      </c>
      <c r="J340" s="290">
        <v>1</v>
      </c>
      <c r="K340" s="290">
        <v>350000</v>
      </c>
      <c r="L340" s="289"/>
    </row>
    <row r="341" s="174" customFormat="1" ht="21" customHeight="1" spans="2:12">
      <c r="B341" s="277"/>
      <c r="C341" s="293" t="s">
        <v>1085</v>
      </c>
      <c r="D341" s="274">
        <v>36</v>
      </c>
      <c r="E341" s="274">
        <v>126</v>
      </c>
      <c r="F341" s="274">
        <v>18</v>
      </c>
      <c r="G341" s="276"/>
      <c r="H341" s="276">
        <v>180</v>
      </c>
      <c r="I341" s="300" t="s">
        <v>863</v>
      </c>
      <c r="J341" s="290">
        <v>1</v>
      </c>
      <c r="K341" s="290">
        <v>1800000</v>
      </c>
      <c r="L341" s="301"/>
    </row>
    <row r="342" s="174" customFormat="1" ht="21" customHeight="1" spans="2:12">
      <c r="B342" s="277"/>
      <c r="C342" s="293" t="s">
        <v>1085</v>
      </c>
      <c r="D342" s="274">
        <v>45.26</v>
      </c>
      <c r="E342" s="274">
        <v>158.41</v>
      </c>
      <c r="F342" s="274">
        <v>22.63</v>
      </c>
      <c r="G342" s="276"/>
      <c r="H342" s="276">
        <v>226.3</v>
      </c>
      <c r="I342" s="300" t="s">
        <v>863</v>
      </c>
      <c r="J342" s="290">
        <v>1</v>
      </c>
      <c r="K342" s="290">
        <v>2263000</v>
      </c>
      <c r="L342" s="301"/>
    </row>
    <row r="343" s="174" customFormat="1" ht="21" customHeight="1" spans="2:12">
      <c r="B343" s="277"/>
      <c r="C343" s="293" t="s">
        <v>1085</v>
      </c>
      <c r="D343" s="274">
        <v>91.8</v>
      </c>
      <c r="E343" s="274">
        <v>321.3</v>
      </c>
      <c r="F343" s="274">
        <v>45.9</v>
      </c>
      <c r="G343" s="276"/>
      <c r="H343" s="276">
        <v>459</v>
      </c>
      <c r="I343" s="300" t="s">
        <v>863</v>
      </c>
      <c r="J343" s="290">
        <v>1</v>
      </c>
      <c r="K343" s="290">
        <v>4590000</v>
      </c>
      <c r="L343" s="301"/>
    </row>
    <row r="344" s="174" customFormat="1" ht="21" customHeight="1" spans="2:12">
      <c r="B344" s="272" t="s">
        <v>1040</v>
      </c>
      <c r="C344" s="294" t="s">
        <v>1086</v>
      </c>
      <c r="D344" s="274">
        <v>0</v>
      </c>
      <c r="E344" s="295"/>
      <c r="F344" s="295"/>
      <c r="G344" s="295"/>
      <c r="H344" s="276">
        <v>0</v>
      </c>
      <c r="I344" s="290"/>
      <c r="J344" s="290"/>
      <c r="K344" s="290"/>
      <c r="L344" s="289"/>
    </row>
    <row r="345" s="174" customFormat="1" ht="21" customHeight="1" spans="2:12">
      <c r="B345" s="277"/>
      <c r="C345" s="278" t="s">
        <v>1069</v>
      </c>
      <c r="D345" s="274">
        <f>J345*K345/10000</f>
        <v>2157.5484</v>
      </c>
      <c r="E345" s="274"/>
      <c r="F345" s="274"/>
      <c r="G345" s="276"/>
      <c r="H345" s="276">
        <f>SUM(D345:G345)</f>
        <v>2157.5484</v>
      </c>
      <c r="I345" s="290" t="s">
        <v>29</v>
      </c>
      <c r="J345" s="290">
        <v>4077</v>
      </c>
      <c r="K345" s="302">
        <v>5292</v>
      </c>
      <c r="L345" s="292"/>
    </row>
    <row r="346" s="174" customFormat="1" ht="21" customHeight="1" spans="2:12">
      <c r="B346" s="277"/>
      <c r="C346" s="278" t="s">
        <v>1087</v>
      </c>
      <c r="D346" s="274">
        <f t="shared" ref="D346:D371" si="56">J346*K346/10000</f>
        <v>4510.0636</v>
      </c>
      <c r="E346" s="274"/>
      <c r="F346" s="274"/>
      <c r="G346" s="276"/>
      <c r="H346" s="276">
        <f t="shared" ref="H346:H371" si="57">SUM(D346:G346)</f>
        <v>4510.0636</v>
      </c>
      <c r="I346" s="290" t="s">
        <v>29</v>
      </c>
      <c r="J346" s="290">
        <v>5579</v>
      </c>
      <c r="K346" s="303">
        <v>8084</v>
      </c>
      <c r="L346" s="292"/>
    </row>
    <row r="347" s="174" customFormat="1" ht="21" customHeight="1" spans="2:12">
      <c r="B347" s="277"/>
      <c r="C347" s="278" t="s">
        <v>1088</v>
      </c>
      <c r="D347" s="274">
        <f t="shared" si="56"/>
        <v>2719.6296</v>
      </c>
      <c r="E347" s="274"/>
      <c r="F347" s="274"/>
      <c r="G347" s="276"/>
      <c r="H347" s="276">
        <f t="shared" si="57"/>
        <v>2719.6296</v>
      </c>
      <c r="I347" s="290" t="s">
        <v>29</v>
      </c>
      <c r="J347" s="290">
        <v>2774</v>
      </c>
      <c r="K347" s="290">
        <v>9804</v>
      </c>
      <c r="L347" s="292"/>
    </row>
    <row r="348" s="174" customFormat="1" ht="21" customHeight="1" spans="2:12">
      <c r="B348" s="277"/>
      <c r="C348" s="278" t="s">
        <v>1089</v>
      </c>
      <c r="D348" s="274">
        <f t="shared" si="56"/>
        <v>14241.9</v>
      </c>
      <c r="E348" s="274"/>
      <c r="F348" s="274"/>
      <c r="G348" s="276"/>
      <c r="H348" s="276">
        <f t="shared" si="57"/>
        <v>14241.9</v>
      </c>
      <c r="I348" s="290" t="s">
        <v>29</v>
      </c>
      <c r="J348" s="290">
        <v>9822</v>
      </c>
      <c r="K348" s="291">
        <v>14500</v>
      </c>
      <c r="L348" s="292"/>
    </row>
    <row r="349" s="174" customFormat="1" ht="21" customHeight="1" spans="2:12">
      <c r="B349" s="277"/>
      <c r="C349" s="293" t="s">
        <v>1090</v>
      </c>
      <c r="D349" s="274">
        <f t="shared" si="56"/>
        <v>3707.73</v>
      </c>
      <c r="E349" s="274"/>
      <c r="F349" s="274"/>
      <c r="G349" s="276"/>
      <c r="H349" s="276">
        <f t="shared" si="57"/>
        <v>3707.73</v>
      </c>
      <c r="I349" s="290" t="s">
        <v>29</v>
      </c>
      <c r="J349" s="290">
        <v>3169</v>
      </c>
      <c r="K349" s="290">
        <v>11700</v>
      </c>
      <c r="L349" s="289"/>
    </row>
    <row r="350" s="174" customFormat="1" ht="21" customHeight="1" spans="2:12">
      <c r="B350" s="277"/>
      <c r="C350" s="293" t="s">
        <v>1091</v>
      </c>
      <c r="D350" s="274">
        <f t="shared" si="56"/>
        <v>2739</v>
      </c>
      <c r="E350" s="274"/>
      <c r="F350" s="274"/>
      <c r="G350" s="276"/>
      <c r="H350" s="276">
        <f t="shared" si="57"/>
        <v>2739</v>
      </c>
      <c r="I350" s="290" t="s">
        <v>29</v>
      </c>
      <c r="J350" s="290">
        <v>2075</v>
      </c>
      <c r="K350" s="290">
        <v>13200</v>
      </c>
      <c r="L350" s="289"/>
    </row>
    <row r="351" s="174" customFormat="1" ht="21" customHeight="1" spans="2:12">
      <c r="B351" s="277"/>
      <c r="C351" s="293" t="s">
        <v>1092</v>
      </c>
      <c r="D351" s="274">
        <f t="shared" si="56"/>
        <v>1251.02</v>
      </c>
      <c r="E351" s="274"/>
      <c r="F351" s="274"/>
      <c r="G351" s="276"/>
      <c r="H351" s="276">
        <f t="shared" si="57"/>
        <v>1251.02</v>
      </c>
      <c r="I351" s="290" t="s">
        <v>29</v>
      </c>
      <c r="J351" s="290">
        <v>881</v>
      </c>
      <c r="K351" s="290">
        <v>14200</v>
      </c>
      <c r="L351" s="289"/>
    </row>
    <row r="352" s="174" customFormat="1" ht="21" customHeight="1" spans="2:12">
      <c r="B352" s="277"/>
      <c r="C352" s="293" t="s">
        <v>1093</v>
      </c>
      <c r="D352" s="274">
        <f t="shared" si="56"/>
        <v>10285.6</v>
      </c>
      <c r="E352" s="274"/>
      <c r="F352" s="274"/>
      <c r="G352" s="276"/>
      <c r="H352" s="276">
        <f t="shared" si="57"/>
        <v>10285.6</v>
      </c>
      <c r="I352" s="290" t="s">
        <v>29</v>
      </c>
      <c r="J352" s="290">
        <v>5980</v>
      </c>
      <c r="K352" s="290">
        <v>17200</v>
      </c>
      <c r="L352" s="289"/>
    </row>
    <row r="353" s="174" customFormat="1" ht="21" customHeight="1" spans="2:12">
      <c r="B353" s="277"/>
      <c r="C353" s="293" t="s">
        <v>1094</v>
      </c>
      <c r="D353" s="274">
        <f t="shared" si="56"/>
        <v>2304.82</v>
      </c>
      <c r="E353" s="274"/>
      <c r="F353" s="274"/>
      <c r="G353" s="276"/>
      <c r="H353" s="276">
        <f t="shared" si="57"/>
        <v>2304.82</v>
      </c>
      <c r="I353" s="290" t="s">
        <v>29</v>
      </c>
      <c r="J353" s="290">
        <v>1141</v>
      </c>
      <c r="K353" s="290">
        <v>20200</v>
      </c>
      <c r="L353" s="289"/>
    </row>
    <row r="354" s="174" customFormat="1" ht="21" customHeight="1" spans="2:12">
      <c r="B354" s="277"/>
      <c r="C354" s="293" t="s">
        <v>1095</v>
      </c>
      <c r="D354" s="274">
        <f t="shared" si="56"/>
        <v>1877.4</v>
      </c>
      <c r="E354" s="274"/>
      <c r="F354" s="274"/>
      <c r="G354" s="276"/>
      <c r="H354" s="276">
        <f t="shared" si="57"/>
        <v>1877.4</v>
      </c>
      <c r="I354" s="290" t="s">
        <v>29</v>
      </c>
      <c r="J354" s="290">
        <v>745</v>
      </c>
      <c r="K354" s="290">
        <v>25200</v>
      </c>
      <c r="L354" s="289"/>
    </row>
    <row r="355" s="174" customFormat="1" ht="21" customHeight="1" spans="2:12">
      <c r="B355" s="272" t="s">
        <v>1096</v>
      </c>
      <c r="C355" s="296" t="s">
        <v>1097</v>
      </c>
      <c r="D355" s="274">
        <f t="shared" si="56"/>
        <v>0</v>
      </c>
      <c r="E355" s="274"/>
      <c r="F355" s="274"/>
      <c r="G355" s="276"/>
      <c r="H355" s="276">
        <f t="shared" si="57"/>
        <v>0</v>
      </c>
      <c r="I355" s="290"/>
      <c r="J355" s="290"/>
      <c r="K355" s="290"/>
      <c r="L355" s="289"/>
    </row>
    <row r="356" s="174" customFormat="1" ht="21" customHeight="1" spans="2:12">
      <c r="B356" s="277"/>
      <c r="C356" s="297" t="s">
        <v>1064</v>
      </c>
      <c r="D356" s="274">
        <f t="shared" si="56"/>
        <v>32.2269</v>
      </c>
      <c r="E356" s="274"/>
      <c r="F356" s="274"/>
      <c r="G356" s="276"/>
      <c r="H356" s="276">
        <f t="shared" si="57"/>
        <v>32.2269</v>
      </c>
      <c r="I356" s="290" t="s">
        <v>29</v>
      </c>
      <c r="J356" s="290">
        <v>213</v>
      </c>
      <c r="K356" s="290">
        <v>1513</v>
      </c>
      <c r="L356" s="292"/>
    </row>
    <row r="357" s="174" customFormat="1" ht="21" customHeight="1" spans="2:12">
      <c r="B357" s="277"/>
      <c r="C357" s="297" t="s">
        <v>1065</v>
      </c>
      <c r="D357" s="274">
        <f t="shared" si="56"/>
        <v>264.2142</v>
      </c>
      <c r="E357" s="274"/>
      <c r="F357" s="274"/>
      <c r="G357" s="276"/>
      <c r="H357" s="276">
        <f t="shared" si="57"/>
        <v>264.2142</v>
      </c>
      <c r="I357" s="290" t="s">
        <v>29</v>
      </c>
      <c r="J357" s="290">
        <v>1266</v>
      </c>
      <c r="K357" s="290">
        <v>2087</v>
      </c>
      <c r="L357" s="292"/>
    </row>
    <row r="358" s="174" customFormat="1" ht="21" customHeight="1" spans="2:12">
      <c r="B358" s="277"/>
      <c r="C358" s="297" t="s">
        <v>1067</v>
      </c>
      <c r="D358" s="274">
        <f t="shared" si="56"/>
        <v>164.565</v>
      </c>
      <c r="E358" s="274"/>
      <c r="F358" s="274"/>
      <c r="G358" s="276"/>
      <c r="H358" s="276">
        <f t="shared" si="57"/>
        <v>164.565</v>
      </c>
      <c r="I358" s="290" t="s">
        <v>29</v>
      </c>
      <c r="J358" s="290">
        <v>477</v>
      </c>
      <c r="K358" s="290">
        <v>3450</v>
      </c>
      <c r="L358" s="292"/>
    </row>
    <row r="359" s="174" customFormat="1" ht="21" customHeight="1" spans="2:12">
      <c r="B359" s="277"/>
      <c r="C359" s="297" t="s">
        <v>1098</v>
      </c>
      <c r="D359" s="274">
        <f t="shared" si="56"/>
        <v>6.96</v>
      </c>
      <c r="E359" s="274"/>
      <c r="F359" s="274"/>
      <c r="G359" s="276"/>
      <c r="H359" s="276">
        <f t="shared" si="57"/>
        <v>6.96</v>
      </c>
      <c r="I359" s="290" t="s">
        <v>29</v>
      </c>
      <c r="J359" s="290">
        <v>58</v>
      </c>
      <c r="K359" s="290">
        <v>1200</v>
      </c>
      <c r="L359" s="289"/>
    </row>
    <row r="360" s="174" customFormat="1" ht="21" customHeight="1" spans="2:12">
      <c r="B360" s="277"/>
      <c r="C360" s="298" t="s">
        <v>1099</v>
      </c>
      <c r="D360" s="274">
        <f t="shared" si="56"/>
        <v>82.5</v>
      </c>
      <c r="E360" s="274"/>
      <c r="F360" s="274"/>
      <c r="G360" s="276"/>
      <c r="H360" s="276">
        <f t="shared" si="57"/>
        <v>82.5</v>
      </c>
      <c r="I360" s="300" t="s">
        <v>863</v>
      </c>
      <c r="J360" s="290">
        <v>15</v>
      </c>
      <c r="K360" s="290">
        <v>55000</v>
      </c>
      <c r="L360" s="289"/>
    </row>
    <row r="361" s="174" customFormat="1" ht="21" customHeight="1" spans="2:12">
      <c r="B361" s="277"/>
      <c r="C361" s="298" t="s">
        <v>1038</v>
      </c>
      <c r="D361" s="274">
        <f t="shared" si="56"/>
        <v>561.855</v>
      </c>
      <c r="E361" s="274"/>
      <c r="F361" s="274"/>
      <c r="G361" s="276"/>
      <c r="H361" s="276">
        <f t="shared" si="57"/>
        <v>561.855</v>
      </c>
      <c r="I361" s="290" t="s">
        <v>1100</v>
      </c>
      <c r="J361" s="290">
        <v>16053</v>
      </c>
      <c r="K361" s="290">
        <v>350</v>
      </c>
      <c r="L361" s="289"/>
    </row>
    <row r="362" s="174" customFormat="1" ht="21" customHeight="1" spans="2:12">
      <c r="B362" s="277"/>
      <c r="C362" s="298" t="s">
        <v>1039</v>
      </c>
      <c r="D362" s="274">
        <f t="shared" si="56"/>
        <v>149.76</v>
      </c>
      <c r="E362" s="274"/>
      <c r="F362" s="274"/>
      <c r="G362" s="276"/>
      <c r="H362" s="276">
        <f t="shared" si="57"/>
        <v>149.76</v>
      </c>
      <c r="I362" s="290" t="s">
        <v>283</v>
      </c>
      <c r="J362" s="290">
        <v>4992</v>
      </c>
      <c r="K362" s="290">
        <v>300</v>
      </c>
      <c r="L362" s="289"/>
    </row>
    <row r="363" s="174" customFormat="1" ht="21" customHeight="1" spans="2:12">
      <c r="B363" s="277"/>
      <c r="C363" s="298" t="s">
        <v>1054</v>
      </c>
      <c r="D363" s="274">
        <f t="shared" si="56"/>
        <v>108.612</v>
      </c>
      <c r="E363" s="274"/>
      <c r="F363" s="274"/>
      <c r="G363" s="276"/>
      <c r="H363" s="276">
        <f t="shared" si="57"/>
        <v>108.612</v>
      </c>
      <c r="I363" s="290" t="s">
        <v>283</v>
      </c>
      <c r="J363" s="290">
        <v>9051</v>
      </c>
      <c r="K363" s="290">
        <v>120</v>
      </c>
      <c r="L363" s="289"/>
    </row>
    <row r="364" s="174" customFormat="1" ht="21" customHeight="1" spans="2:12">
      <c r="B364" s="277"/>
      <c r="C364" s="298" t="s">
        <v>1055</v>
      </c>
      <c r="D364" s="274">
        <f t="shared" si="56"/>
        <v>114.98</v>
      </c>
      <c r="E364" s="274"/>
      <c r="F364" s="274"/>
      <c r="G364" s="276"/>
      <c r="H364" s="276">
        <f t="shared" si="57"/>
        <v>114.98</v>
      </c>
      <c r="I364" s="290" t="s">
        <v>283</v>
      </c>
      <c r="J364" s="290">
        <v>5749</v>
      </c>
      <c r="K364" s="290">
        <v>200</v>
      </c>
      <c r="L364" s="289"/>
    </row>
    <row r="365" s="174" customFormat="1" ht="21" customHeight="1" spans="2:12">
      <c r="B365" s="277"/>
      <c r="C365" s="298" t="s">
        <v>1101</v>
      </c>
      <c r="D365" s="274">
        <f t="shared" si="56"/>
        <v>210</v>
      </c>
      <c r="E365" s="274"/>
      <c r="F365" s="274"/>
      <c r="G365" s="276"/>
      <c r="H365" s="276">
        <f t="shared" si="57"/>
        <v>210</v>
      </c>
      <c r="I365" s="290" t="s">
        <v>283</v>
      </c>
      <c r="J365" s="290">
        <v>3000</v>
      </c>
      <c r="K365" s="290">
        <v>700</v>
      </c>
      <c r="L365" s="289"/>
    </row>
    <row r="366" s="174" customFormat="1" ht="21" customHeight="1" spans="2:12">
      <c r="B366" s="277"/>
      <c r="C366" s="298" t="s">
        <v>1056</v>
      </c>
      <c r="D366" s="274">
        <f t="shared" si="56"/>
        <v>10.8</v>
      </c>
      <c r="E366" s="274"/>
      <c r="F366" s="274"/>
      <c r="G366" s="276"/>
      <c r="H366" s="276">
        <f t="shared" si="57"/>
        <v>10.8</v>
      </c>
      <c r="I366" s="300" t="s">
        <v>863</v>
      </c>
      <c r="J366" s="290">
        <v>180</v>
      </c>
      <c r="K366" s="290">
        <v>600</v>
      </c>
      <c r="L366" s="289"/>
    </row>
    <row r="367" s="174" customFormat="1" ht="21" customHeight="1" spans="2:12">
      <c r="B367" s="277"/>
      <c r="C367" s="298" t="s">
        <v>1102</v>
      </c>
      <c r="D367" s="274">
        <f t="shared" si="56"/>
        <v>12</v>
      </c>
      <c r="E367" s="274"/>
      <c r="F367" s="274"/>
      <c r="G367" s="276"/>
      <c r="H367" s="276">
        <f t="shared" si="57"/>
        <v>12</v>
      </c>
      <c r="I367" s="300" t="s">
        <v>863</v>
      </c>
      <c r="J367" s="290">
        <v>120</v>
      </c>
      <c r="K367" s="290">
        <v>1000</v>
      </c>
      <c r="L367" s="289"/>
    </row>
    <row r="368" s="174" customFormat="1" ht="21" customHeight="1" spans="2:12">
      <c r="B368" s="277"/>
      <c r="C368" s="298" t="s">
        <v>1103</v>
      </c>
      <c r="D368" s="274">
        <f t="shared" si="56"/>
        <v>110.61</v>
      </c>
      <c r="E368" s="274"/>
      <c r="F368" s="274"/>
      <c r="G368" s="276"/>
      <c r="H368" s="276">
        <f t="shared" si="57"/>
        <v>110.61</v>
      </c>
      <c r="I368" s="290" t="s">
        <v>29</v>
      </c>
      <c r="J368" s="290">
        <v>3687</v>
      </c>
      <c r="K368" s="290">
        <v>300</v>
      </c>
      <c r="L368" s="289"/>
    </row>
    <row r="369" s="174" customFormat="1" ht="21" customHeight="1" spans="2:12">
      <c r="B369" s="277"/>
      <c r="C369" s="298" t="s">
        <v>1058</v>
      </c>
      <c r="D369" s="274">
        <f t="shared" si="56"/>
        <v>33.3</v>
      </c>
      <c r="E369" s="274"/>
      <c r="F369" s="274"/>
      <c r="G369" s="276"/>
      <c r="H369" s="276">
        <f t="shared" si="57"/>
        <v>33.3</v>
      </c>
      <c r="I369" s="300" t="s">
        <v>863</v>
      </c>
      <c r="J369" s="290">
        <v>333</v>
      </c>
      <c r="K369" s="290">
        <v>1000</v>
      </c>
      <c r="L369" s="289"/>
    </row>
    <row r="370" s="174" customFormat="1" ht="21" customHeight="1" spans="2:12">
      <c r="B370" s="277"/>
      <c r="C370" s="298" t="s">
        <v>1059</v>
      </c>
      <c r="D370" s="274">
        <f t="shared" si="56"/>
        <v>5.25</v>
      </c>
      <c r="E370" s="274"/>
      <c r="F370" s="274"/>
      <c r="G370" s="276"/>
      <c r="H370" s="276">
        <f t="shared" si="57"/>
        <v>5.25</v>
      </c>
      <c r="I370" s="300" t="s">
        <v>863</v>
      </c>
      <c r="J370" s="290">
        <v>105</v>
      </c>
      <c r="K370" s="290">
        <v>500</v>
      </c>
      <c r="L370" s="289"/>
    </row>
    <row r="371" s="174" customFormat="1" ht="21" customHeight="1" spans="2:12">
      <c r="B371" s="277"/>
      <c r="C371" s="298" t="s">
        <v>1060</v>
      </c>
      <c r="D371" s="274">
        <f t="shared" si="56"/>
        <v>0.5</v>
      </c>
      <c r="E371" s="274"/>
      <c r="F371" s="274"/>
      <c r="G371" s="276"/>
      <c r="H371" s="276">
        <f t="shared" si="57"/>
        <v>0.5</v>
      </c>
      <c r="I371" s="300" t="s">
        <v>863</v>
      </c>
      <c r="J371" s="290">
        <v>10</v>
      </c>
      <c r="K371" s="290">
        <v>500</v>
      </c>
      <c r="L371" s="289"/>
    </row>
    <row r="372" ht="21" customHeight="1" spans="2:12">
      <c r="B372" s="28" t="s">
        <v>91</v>
      </c>
      <c r="C372" s="124" t="s">
        <v>92</v>
      </c>
      <c r="D372" s="30"/>
      <c r="E372" s="30"/>
      <c r="F372" s="30"/>
      <c r="G372" s="125">
        <f ca="1">SUM(G373:G396)</f>
        <v>12432.9414349631</v>
      </c>
      <c r="H372" s="125">
        <f ca="1">SUM(H373:H396)</f>
        <v>12432.9414349631</v>
      </c>
      <c r="I372" s="30"/>
      <c r="J372" s="30"/>
      <c r="K372" s="132"/>
      <c r="L372" s="133"/>
    </row>
    <row r="373" ht="21" customHeight="1" spans="2:12">
      <c r="B373" s="299" t="s">
        <v>18</v>
      </c>
      <c r="C373" s="126" t="s">
        <v>93</v>
      </c>
      <c r="D373" s="127"/>
      <c r="E373" s="127"/>
      <c r="F373" s="127"/>
      <c r="G373" s="128"/>
      <c r="H373" s="40"/>
      <c r="I373" s="134" t="s">
        <v>94</v>
      </c>
      <c r="J373" s="30"/>
      <c r="K373" s="132"/>
      <c r="L373" s="135" t="s">
        <v>1104</v>
      </c>
    </row>
    <row r="374" ht="21" customHeight="1" spans="2:12">
      <c r="B374" s="299" t="s">
        <v>40</v>
      </c>
      <c r="C374" s="126" t="s">
        <v>1105</v>
      </c>
      <c r="D374" s="127"/>
      <c r="E374" s="127"/>
      <c r="F374" s="127"/>
      <c r="G374" s="128"/>
      <c r="H374" s="40"/>
      <c r="I374" s="136" t="s">
        <v>283</v>
      </c>
      <c r="J374" s="30"/>
      <c r="K374" s="132"/>
      <c r="L374" s="135" t="s">
        <v>1104</v>
      </c>
    </row>
    <row r="375" ht="21" customHeight="1" spans="2:12">
      <c r="B375" s="299" t="s">
        <v>45</v>
      </c>
      <c r="C375" s="126" t="s">
        <v>95</v>
      </c>
      <c r="D375" s="127"/>
      <c r="E375" s="127"/>
      <c r="F375" s="127"/>
      <c r="G375" s="65">
        <f ca="1">940+(H401-100000)*0.4%</f>
        <v>1124.94713463107</v>
      </c>
      <c r="H375" s="40">
        <f ca="1">SUM(G375)</f>
        <v>1124.94713463107</v>
      </c>
      <c r="I375" s="137" t="s">
        <v>96</v>
      </c>
      <c r="J375" s="138"/>
      <c r="K375" s="138"/>
      <c r="L375" s="139"/>
    </row>
    <row r="376" ht="21" customHeight="1" spans="2:12">
      <c r="B376" s="299" t="s">
        <v>47</v>
      </c>
      <c r="C376" s="126" t="s">
        <v>97</v>
      </c>
      <c r="D376" s="127"/>
      <c r="E376" s="127"/>
      <c r="F376" s="127"/>
      <c r="G376" s="127">
        <f>((1507-1255.8)/20000*(H4+H391-80000)+1255.8)*1.15*1</f>
        <v>1999.24385924621</v>
      </c>
      <c r="H376" s="40">
        <f t="shared" ref="H376:H396" si="58">SUM(G376)</f>
        <v>1999.24385924621</v>
      </c>
      <c r="I376" s="137" t="s">
        <v>1106</v>
      </c>
      <c r="J376" s="138"/>
      <c r="K376" s="138"/>
      <c r="L376" s="139"/>
    </row>
    <row r="377" ht="21" customHeight="1" spans="2:12">
      <c r="B377" s="299" t="s">
        <v>51</v>
      </c>
      <c r="C377" s="126" t="s">
        <v>99</v>
      </c>
      <c r="D377" s="127"/>
      <c r="E377" s="127"/>
      <c r="F377" s="127"/>
      <c r="G377" s="127">
        <f ca="1">((100+200+17+25-55-110-15-20)/400000*(H401-100000)+(55+110+15+20))*0.7*1.2</f>
        <v>181.787808886747</v>
      </c>
      <c r="H377" s="40">
        <f ca="1" t="shared" si="58"/>
        <v>181.787808886747</v>
      </c>
      <c r="I377" s="137" t="s">
        <v>1107</v>
      </c>
      <c r="J377" s="138"/>
      <c r="K377" s="138"/>
      <c r="L377" s="139"/>
    </row>
    <row r="378" ht="21" customHeight="1" spans="2:12">
      <c r="B378" s="299" t="s">
        <v>53</v>
      </c>
      <c r="C378" s="126" t="s">
        <v>101</v>
      </c>
      <c r="D378" s="127"/>
      <c r="E378" s="127"/>
      <c r="F378" s="127"/>
      <c r="G378" s="127">
        <f>H4*1.1%</f>
        <v>1302.29625897518</v>
      </c>
      <c r="H378" s="40">
        <f t="shared" si="58"/>
        <v>1302.29625897518</v>
      </c>
      <c r="I378" s="137" t="s">
        <v>102</v>
      </c>
      <c r="J378" s="138"/>
      <c r="K378" s="138"/>
      <c r="L378" s="139"/>
    </row>
    <row r="379" ht="21" customHeight="1" spans="2:12">
      <c r="B379" s="299" t="s">
        <v>55</v>
      </c>
      <c r="C379" s="126" t="s">
        <v>103</v>
      </c>
      <c r="D379" s="127"/>
      <c r="E379" s="127"/>
      <c r="F379" s="127"/>
      <c r="G379" s="127">
        <f>((2393.4-1960.1)/20000*(H4+H391-80000)+1960.1)*1*1.15</f>
        <v>3211.57321342112</v>
      </c>
      <c r="H379" s="40">
        <f t="shared" si="58"/>
        <v>3211.57321342112</v>
      </c>
      <c r="I379" s="137" t="s">
        <v>1108</v>
      </c>
      <c r="J379" s="138"/>
      <c r="K379" s="138"/>
      <c r="L379" s="139"/>
    </row>
    <row r="380" ht="21" customHeight="1" spans="2:12">
      <c r="B380" s="299" t="s">
        <v>59</v>
      </c>
      <c r="C380" s="126" t="s">
        <v>105</v>
      </c>
      <c r="D380" s="127"/>
      <c r="E380" s="127"/>
      <c r="F380" s="127"/>
      <c r="G380" s="127"/>
      <c r="H380" s="40">
        <f t="shared" si="58"/>
        <v>0</v>
      </c>
      <c r="I380" s="138"/>
      <c r="J380" s="138"/>
      <c r="K380" s="138"/>
      <c r="L380" s="139"/>
    </row>
    <row r="381" ht="21" customHeight="1" spans="2:12">
      <c r="B381" s="299"/>
      <c r="C381" s="129" t="s">
        <v>1109</v>
      </c>
      <c r="D381" s="127"/>
      <c r="E381" s="127"/>
      <c r="F381" s="127"/>
      <c r="G381" s="127">
        <f>G379*5%</f>
        <v>160.578660671056</v>
      </c>
      <c r="H381" s="40">
        <f t="shared" si="58"/>
        <v>160.578660671056</v>
      </c>
      <c r="I381" s="137" t="s">
        <v>1108</v>
      </c>
      <c r="J381" s="138"/>
      <c r="K381" s="138"/>
      <c r="L381" s="139"/>
    </row>
    <row r="382" ht="21" customHeight="1" spans="2:12">
      <c r="B382" s="299"/>
      <c r="C382" s="129" t="s">
        <v>1110</v>
      </c>
      <c r="D382" s="127"/>
      <c r="E382" s="127"/>
      <c r="F382" s="127"/>
      <c r="G382" s="127">
        <f>G379*5%</f>
        <v>160.578660671056</v>
      </c>
      <c r="H382" s="40">
        <f t="shared" si="58"/>
        <v>160.578660671056</v>
      </c>
      <c r="I382" s="137" t="s">
        <v>1108</v>
      </c>
      <c r="J382" s="138"/>
      <c r="K382" s="138"/>
      <c r="L382" s="139"/>
    </row>
    <row r="383" ht="21" customHeight="1" spans="2:12">
      <c r="B383" s="299"/>
      <c r="C383" s="129" t="s">
        <v>106</v>
      </c>
      <c r="D383" s="127"/>
      <c r="E383" s="127"/>
      <c r="F383" s="127"/>
      <c r="G383" s="127">
        <f>G379*10%</f>
        <v>321.157321342112</v>
      </c>
      <c r="H383" s="40">
        <f t="shared" si="58"/>
        <v>321.157321342112</v>
      </c>
      <c r="I383" s="137" t="s">
        <v>1108</v>
      </c>
      <c r="J383" s="138"/>
      <c r="K383" s="138"/>
      <c r="L383" s="139"/>
    </row>
    <row r="384" ht="21" customHeight="1" spans="2:12">
      <c r="B384" s="299"/>
      <c r="C384" s="129" t="s">
        <v>1111</v>
      </c>
      <c r="D384" s="127"/>
      <c r="E384" s="127"/>
      <c r="F384" s="127"/>
      <c r="G384" s="127">
        <f>G379*8%</f>
        <v>256.925857073689</v>
      </c>
      <c r="H384" s="40">
        <f t="shared" si="58"/>
        <v>256.925857073689</v>
      </c>
      <c r="I384" s="137" t="s">
        <v>1108</v>
      </c>
      <c r="J384" s="138"/>
      <c r="K384" s="138"/>
      <c r="L384" s="139"/>
    </row>
    <row r="385" ht="21" customHeight="1" spans="2:12">
      <c r="B385" s="299" t="s">
        <v>61</v>
      </c>
      <c r="C385" s="126" t="s">
        <v>108</v>
      </c>
      <c r="D385" s="127"/>
      <c r="E385" s="127"/>
      <c r="F385" s="127"/>
      <c r="G385" s="127">
        <f ca="1">((75+9-35-7)/400000*(H401-100000)+(35+7)+7+2)*1*1.2</f>
        <v>67.0258347408788</v>
      </c>
      <c r="H385" s="40">
        <f ca="1" t="shared" si="58"/>
        <v>67.0258347408788</v>
      </c>
      <c r="I385" s="137" t="s">
        <v>1112</v>
      </c>
      <c r="J385" s="138"/>
      <c r="K385" s="138"/>
      <c r="L385" s="139"/>
    </row>
    <row r="386" ht="21" customHeight="1" spans="2:12">
      <c r="B386" s="299" t="s">
        <v>63</v>
      </c>
      <c r="C386" s="126" t="s">
        <v>1113</v>
      </c>
      <c r="D386" s="127"/>
      <c r="E386" s="127"/>
      <c r="F386" s="127"/>
      <c r="G386" s="127">
        <f>H4*0.5%</f>
        <v>591.95284498872</v>
      </c>
      <c r="H386" s="40">
        <f t="shared" si="58"/>
        <v>591.95284498872</v>
      </c>
      <c r="I386" s="140" t="s">
        <v>1114</v>
      </c>
      <c r="J386" s="141"/>
      <c r="K386" s="141"/>
      <c r="L386" s="142"/>
    </row>
    <row r="387" ht="21" customHeight="1" spans="2:12">
      <c r="B387" s="299" t="s">
        <v>65</v>
      </c>
      <c r="C387" s="126" t="s">
        <v>110</v>
      </c>
      <c r="D387" s="127"/>
      <c r="E387" s="127"/>
      <c r="F387" s="127"/>
      <c r="G387" s="127">
        <f>H4*1%</f>
        <v>1183.90568997744</v>
      </c>
      <c r="H387" s="40">
        <f t="shared" si="58"/>
        <v>1183.90568997744</v>
      </c>
      <c r="I387" s="140" t="s">
        <v>111</v>
      </c>
      <c r="J387" s="141"/>
      <c r="K387" s="141"/>
      <c r="L387" s="142"/>
    </row>
    <row r="388" ht="21" customHeight="1" spans="2:12">
      <c r="B388" s="299" t="s">
        <v>67</v>
      </c>
      <c r="C388" s="126" t="s">
        <v>1115</v>
      </c>
      <c r="D388" s="127"/>
      <c r="E388" s="127"/>
      <c r="F388" s="127"/>
      <c r="G388" s="127">
        <f>H4*0.6%</f>
        <v>710.343413986464</v>
      </c>
      <c r="H388" s="40">
        <f t="shared" si="58"/>
        <v>710.343413986464</v>
      </c>
      <c r="I388" s="140" t="s">
        <v>1116</v>
      </c>
      <c r="J388" s="141"/>
      <c r="K388" s="141"/>
      <c r="L388" s="142"/>
    </row>
    <row r="389" ht="21" customHeight="1" spans="2:12">
      <c r="B389" s="299" t="s">
        <v>69</v>
      </c>
      <c r="C389" s="126" t="s">
        <v>112</v>
      </c>
      <c r="D389" s="127"/>
      <c r="E389" s="127"/>
      <c r="F389" s="127"/>
      <c r="G389" s="127">
        <f>20*0.6*0.3*6</f>
        <v>21.6</v>
      </c>
      <c r="H389" s="40">
        <f t="shared" si="58"/>
        <v>21.6</v>
      </c>
      <c r="I389" s="140" t="s">
        <v>113</v>
      </c>
      <c r="J389" s="141"/>
      <c r="K389" s="141"/>
      <c r="L389" s="142"/>
    </row>
    <row r="390" ht="21" customHeight="1" spans="2:12">
      <c r="B390" s="299" t="s">
        <v>71</v>
      </c>
      <c r="C390" s="126" t="s">
        <v>114</v>
      </c>
      <c r="D390" s="127"/>
      <c r="E390" s="127"/>
      <c r="F390" s="127"/>
      <c r="G390" s="127">
        <f>20*0.2</f>
        <v>4</v>
      </c>
      <c r="H390" s="40">
        <f t="shared" si="58"/>
        <v>4</v>
      </c>
      <c r="I390" s="140" t="s">
        <v>115</v>
      </c>
      <c r="J390" s="141"/>
      <c r="K390" s="141"/>
      <c r="L390" s="142"/>
    </row>
    <row r="391" ht="21" customHeight="1" spans="2:12">
      <c r="B391" s="299" t="s">
        <v>73</v>
      </c>
      <c r="C391" s="126" t="s">
        <v>116</v>
      </c>
      <c r="D391" s="127"/>
      <c r="E391" s="127"/>
      <c r="F391" s="127"/>
      <c r="G391" s="127">
        <f>E4*1%</f>
        <v>38.8037</v>
      </c>
      <c r="H391" s="40">
        <f t="shared" si="58"/>
        <v>38.8037</v>
      </c>
      <c r="I391" s="137" t="s">
        <v>117</v>
      </c>
      <c r="J391" s="138"/>
      <c r="K391" s="138"/>
      <c r="L391" s="139"/>
    </row>
    <row r="392" ht="21" customHeight="1" spans="2:12">
      <c r="B392" s="299" t="s">
        <v>75</v>
      </c>
      <c r="C392" s="126" t="s">
        <v>1117</v>
      </c>
      <c r="D392" s="127"/>
      <c r="E392" s="127"/>
      <c r="F392" s="127"/>
      <c r="G392" s="127">
        <f>100*1.5%+400*1.1%+500*0.8%+4000*0.5%+(E4+G4-5000)*0.25%+100*1%+400*0.7%+500*0.55%+4000*0.35%+5000*0.2%+40000*0.05%+(D4+F4-50000)*0.035%+100*1.5%+400*0.8%+500*0.45%+4000*0.25%+(H376+H378+H379+H381+H382+H383+H384-5000)*0.1%</f>
        <v>119.651940980611</v>
      </c>
      <c r="H392" s="40">
        <f t="shared" si="58"/>
        <v>119.651940980611</v>
      </c>
      <c r="I392" s="137" t="s">
        <v>1118</v>
      </c>
      <c r="J392" s="138"/>
      <c r="K392" s="138"/>
      <c r="L392" s="139"/>
    </row>
    <row r="393" ht="21" customHeight="1" spans="2:12">
      <c r="B393" s="299" t="s">
        <v>77</v>
      </c>
      <c r="C393" s="126" t="s">
        <v>118</v>
      </c>
      <c r="D393" s="127"/>
      <c r="E393" s="127"/>
      <c r="F393" s="127"/>
      <c r="G393" s="127">
        <f>500*1.2%+2500*0.9%+3000*0.75%+4000*0.6%+(H4-10000)*0.4%</f>
        <v>508.562275990976</v>
      </c>
      <c r="H393" s="40">
        <f t="shared" si="58"/>
        <v>508.562275990976</v>
      </c>
      <c r="I393" s="137" t="s">
        <v>1119</v>
      </c>
      <c r="J393" s="138"/>
      <c r="K393" s="138"/>
      <c r="L393" s="139"/>
    </row>
    <row r="394" ht="21" customHeight="1" spans="2:12">
      <c r="B394" s="299" t="s">
        <v>79</v>
      </c>
      <c r="C394" s="126" t="s">
        <v>1120</v>
      </c>
      <c r="D394" s="127"/>
      <c r="E394" s="127"/>
      <c r="F394" s="127"/>
      <c r="G394" s="127">
        <f ca="1">(25+(H401-100000)*0.00625%+15+(H401-100000)*0.0025%)*1.2</f>
        <v>52.8548622840657</v>
      </c>
      <c r="H394" s="40">
        <f ca="1" t="shared" si="58"/>
        <v>52.8548622840657</v>
      </c>
      <c r="I394" s="137" t="s">
        <v>1121</v>
      </c>
      <c r="J394" s="138"/>
      <c r="K394" s="138"/>
      <c r="L394" s="139"/>
    </row>
    <row r="395" ht="21" customHeight="1" spans="2:12">
      <c r="B395" s="299" t="s">
        <v>81</v>
      </c>
      <c r="C395" s="126" t="s">
        <v>120</v>
      </c>
      <c r="D395" s="127"/>
      <c r="E395" s="127"/>
      <c r="F395" s="127"/>
      <c r="G395" s="127">
        <f>H4*0.07%</f>
        <v>82.8733982984208</v>
      </c>
      <c r="H395" s="40">
        <f t="shared" si="58"/>
        <v>82.8733982984208</v>
      </c>
      <c r="I395" s="137" t="s">
        <v>121</v>
      </c>
      <c r="J395" s="138"/>
      <c r="K395" s="138"/>
      <c r="L395" s="139"/>
    </row>
    <row r="396" ht="21" customHeight="1" spans="2:12">
      <c r="B396" s="299" t="s">
        <v>83</v>
      </c>
      <c r="C396" s="126" t="s">
        <v>124</v>
      </c>
      <c r="D396" s="127"/>
      <c r="E396" s="127"/>
      <c r="F396" s="127"/>
      <c r="G396" s="127">
        <f>(132+(D4+F4-80000)/10000*24+350+0.7*35+66+0.7*8+4+0.7*0.8)/2-0.075-0.355</f>
        <v>332.278698797293</v>
      </c>
      <c r="H396" s="40">
        <f t="shared" si="58"/>
        <v>332.278698797293</v>
      </c>
      <c r="I396" s="137" t="s">
        <v>1122</v>
      </c>
      <c r="J396" s="138"/>
      <c r="K396" s="138"/>
      <c r="L396" s="139"/>
    </row>
    <row r="397" ht="21" customHeight="1" spans="2:12">
      <c r="B397" s="143" t="s">
        <v>134</v>
      </c>
      <c r="C397" s="144" t="s">
        <v>1123</v>
      </c>
      <c r="D397" s="145"/>
      <c r="E397" s="145"/>
      <c r="F397" s="145"/>
      <c r="G397" s="304">
        <f ca="1">(H4+H372)*8%</f>
        <v>10465.8808346166</v>
      </c>
      <c r="H397" s="146">
        <f ca="1">G397</f>
        <v>10465.8808346166</v>
      </c>
      <c r="I397" s="138"/>
      <c r="J397" s="138"/>
      <c r="K397" s="138"/>
      <c r="L397" s="139"/>
    </row>
    <row r="398" ht="21" customHeight="1" spans="2:12">
      <c r="B398" s="143" t="s">
        <v>136</v>
      </c>
      <c r="C398" s="144" t="s">
        <v>137</v>
      </c>
      <c r="D398" s="145"/>
      <c r="E398" s="145"/>
      <c r="F398" s="145"/>
      <c r="G398" s="136"/>
      <c r="H398" s="146">
        <f ca="1">H4+H372+H397</f>
        <v>141289.391267324</v>
      </c>
      <c r="I398" s="138"/>
      <c r="J398" s="138"/>
      <c r="K398" s="138"/>
      <c r="L398" s="139"/>
    </row>
    <row r="399" ht="21" customHeight="1" spans="2:12">
      <c r="B399" s="143" t="s">
        <v>138</v>
      </c>
      <c r="C399" s="144" t="s">
        <v>139</v>
      </c>
      <c r="D399" s="145"/>
      <c r="E399" s="145"/>
      <c r="F399" s="145"/>
      <c r="G399" s="304">
        <f ca="1">H398*0.5*0.7*4.9%*0.5+(H398*0.5*0.7*4.9%*0.5+H398*0.7*0.5+H398*0.7*0.5*0.5)*4.9%</f>
        <v>4905.59239044495</v>
      </c>
      <c r="H399" s="146">
        <f ca="1">G399</f>
        <v>4905.59239044495</v>
      </c>
      <c r="I399" s="138"/>
      <c r="J399" s="138"/>
      <c r="K399" s="138"/>
      <c r="L399" s="139"/>
    </row>
    <row r="400" ht="21" customHeight="1" spans="2:12">
      <c r="B400" s="147" t="s">
        <v>140</v>
      </c>
      <c r="C400" s="148" t="s">
        <v>141</v>
      </c>
      <c r="D400" s="149"/>
      <c r="E400" s="149"/>
      <c r="F400" s="149"/>
      <c r="G400" s="136">
        <v>41.8</v>
      </c>
      <c r="H400" s="146">
        <f>SUM(G400)</f>
        <v>41.8</v>
      </c>
      <c r="I400" s="138"/>
      <c r="J400" s="138"/>
      <c r="K400" s="138"/>
      <c r="L400" s="139"/>
    </row>
    <row r="401" ht="21" customHeight="1" spans="2:12">
      <c r="B401" s="150" t="s">
        <v>142</v>
      </c>
      <c r="C401" s="151" t="s">
        <v>143</v>
      </c>
      <c r="D401" s="152">
        <f>D4</f>
        <v>113753.688997744</v>
      </c>
      <c r="E401" s="152">
        <f>E4</f>
        <v>3880.37</v>
      </c>
      <c r="F401" s="152">
        <f>F4</f>
        <v>728.56</v>
      </c>
      <c r="G401" s="152">
        <f ca="1">G4+G372+G397+G399+G400</f>
        <v>27874.1646600246</v>
      </c>
      <c r="H401" s="152">
        <f ca="1">H398+H399+H400</f>
        <v>146236.783657769</v>
      </c>
      <c r="I401" s="152"/>
      <c r="J401" s="152"/>
      <c r="K401" s="152"/>
      <c r="L401" s="167"/>
    </row>
    <row r="402" ht="57.75" customHeight="1" spans="2:12">
      <c r="B402" s="153" t="s">
        <v>1124</v>
      </c>
      <c r="C402" s="154"/>
      <c r="D402" s="154"/>
      <c r="E402" s="154"/>
      <c r="F402" s="154"/>
      <c r="G402" s="155"/>
      <c r="H402" s="154"/>
      <c r="I402" s="154"/>
      <c r="J402" s="154"/>
      <c r="K402" s="154"/>
      <c r="L402" s="154"/>
    </row>
    <row r="403" customHeight="1" spans="3:9">
      <c r="C403" s="156"/>
      <c r="H403" s="16">
        <v>108667.38001471</v>
      </c>
      <c r="I403" s="16">
        <f ca="1">H401/H4</f>
        <v>1.23520635888282</v>
      </c>
    </row>
    <row r="405" customHeight="1" spans="8:8">
      <c r="H405" s="15">
        <f ca="1">H401-H403</f>
        <v>37569.4036430586</v>
      </c>
    </row>
    <row r="408" customHeight="1" spans="7:8">
      <c r="G408" s="15">
        <f ca="1">H401/H4</f>
        <v>1.23520635888282</v>
      </c>
      <c r="H408" s="158" t="s">
        <v>1125</v>
      </c>
    </row>
    <row r="409" customHeight="1" spans="8:9">
      <c r="H409" s="168" t="s">
        <v>15</v>
      </c>
      <c r="I409" s="168" t="s">
        <v>1126</v>
      </c>
    </row>
    <row r="410" customHeight="1" spans="7:9">
      <c r="G410" s="160" t="s">
        <v>876</v>
      </c>
      <c r="H410" s="15">
        <f>SUM(H115:H157)</f>
        <v>11844.48914</v>
      </c>
      <c r="I410" s="15">
        <f ca="1">H410*$G$408</f>
        <v>14630.3883034465</v>
      </c>
    </row>
    <row r="411" customHeight="1" spans="7:9">
      <c r="G411" s="160" t="s">
        <v>1127</v>
      </c>
      <c r="H411" s="15">
        <f>SUM(H158:H196)</f>
        <v>5852.6747</v>
      </c>
      <c r="I411" s="15">
        <f ca="1" t="shared" ref="I411:I415" si="59">H411*$G$408</f>
        <v>7229.2610059126</v>
      </c>
    </row>
    <row r="412" customHeight="1" spans="7:9">
      <c r="G412" s="160" t="s">
        <v>1128</v>
      </c>
      <c r="H412" s="15">
        <f>SUM(H199:H233)</f>
        <v>6242.78</v>
      </c>
      <c r="I412" s="15">
        <f ca="1" t="shared" si="59"/>
        <v>7711.12155310649</v>
      </c>
    </row>
    <row r="413" customHeight="1" spans="7:9">
      <c r="G413" s="160" t="s">
        <v>1061</v>
      </c>
      <c r="H413" s="15">
        <f>SUM(H316:H343)</f>
        <v>15662.4931</v>
      </c>
      <c r="I413" s="15">
        <f ca="1" t="shared" si="59"/>
        <v>19346.4110730783</v>
      </c>
    </row>
    <row r="414" customHeight="1" spans="7:9">
      <c r="G414" s="160" t="s">
        <v>1129</v>
      </c>
      <c r="H414" s="15">
        <f>SUM(H344:H354)</f>
        <v>45794.7116</v>
      </c>
      <c r="I414" s="15">
        <f ca="1" t="shared" si="59"/>
        <v>56565.9189715248</v>
      </c>
    </row>
    <row r="415" customHeight="1" spans="7:9">
      <c r="G415" s="160" t="s">
        <v>1130</v>
      </c>
      <c r="H415" s="15">
        <f>SUM(H355:H371)</f>
        <v>1868.1331</v>
      </c>
      <c r="I415" s="15">
        <f ca="1" t="shared" si="59"/>
        <v>2307.52988435948</v>
      </c>
    </row>
    <row r="416" customHeight="1" spans="9:12">
      <c r="I416" s="15">
        <f ca="1">SUM(I410:I415)</f>
        <v>107790.630791428</v>
      </c>
      <c r="L416" s="16">
        <v>15874008706</v>
      </c>
    </row>
  </sheetData>
  <autoFilter ref="C1:C409">
    <extLst/>
  </autoFilter>
  <mergeCells count="50">
    <mergeCell ref="B1:L1"/>
    <mergeCell ref="D2:H2"/>
    <mergeCell ref="N234:Q234"/>
    <mergeCell ref="R234:T234"/>
    <mergeCell ref="I375:L375"/>
    <mergeCell ref="I376:L376"/>
    <mergeCell ref="I377:L377"/>
    <mergeCell ref="I378:L378"/>
    <mergeCell ref="I379:L379"/>
    <mergeCell ref="I380:L380"/>
    <mergeCell ref="I381:L381"/>
    <mergeCell ref="I382:L382"/>
    <mergeCell ref="I383:L383"/>
    <mergeCell ref="I384:L384"/>
    <mergeCell ref="I385:L385"/>
    <mergeCell ref="I386:L386"/>
    <mergeCell ref="I387:L387"/>
    <mergeCell ref="I388:L388"/>
    <mergeCell ref="I389:L389"/>
    <mergeCell ref="I390:L390"/>
    <mergeCell ref="I391:L391"/>
    <mergeCell ref="I392:L392"/>
    <mergeCell ref="I393:L393"/>
    <mergeCell ref="I394:L394"/>
    <mergeCell ref="I395:L395"/>
    <mergeCell ref="I396:L396"/>
    <mergeCell ref="I397:L397"/>
    <mergeCell ref="I398:L398"/>
    <mergeCell ref="I399:L399"/>
    <mergeCell ref="I400:L400"/>
    <mergeCell ref="I401:L401"/>
    <mergeCell ref="B402:L402"/>
    <mergeCell ref="B2:B3"/>
    <mergeCell ref="C2:C3"/>
    <mergeCell ref="E208:E209"/>
    <mergeCell ref="E210:E211"/>
    <mergeCell ref="E213:E214"/>
    <mergeCell ref="E216:E217"/>
    <mergeCell ref="F208:F209"/>
    <mergeCell ref="F210:F211"/>
    <mergeCell ref="F213:F214"/>
    <mergeCell ref="F216:F217"/>
    <mergeCell ref="H208:H209"/>
    <mergeCell ref="H210:H211"/>
    <mergeCell ref="H213:H214"/>
    <mergeCell ref="H216:H217"/>
    <mergeCell ref="I2:I3"/>
    <mergeCell ref="J2:J3"/>
    <mergeCell ref="K2:K3"/>
    <mergeCell ref="L2:L3"/>
  </mergeCells>
  <conditionalFormatting sqref="K14:K16">
    <cfRule type="cellIs" dxfId="0" priority="4" stopIfTrue="1" operator="lessThan">
      <formula>0</formula>
    </cfRule>
  </conditionalFormatting>
  <conditionalFormatting sqref="K17:K29">
    <cfRule type="cellIs" dxfId="0" priority="3" stopIfTrue="1" operator="lessThan">
      <formula>0</formula>
    </cfRule>
  </conditionalFormatting>
  <conditionalFormatting sqref="K71:K72">
    <cfRule type="cellIs" dxfId="0" priority="2" stopIfTrue="1" operator="lessThan">
      <formula>0</formula>
    </cfRule>
  </conditionalFormatting>
  <conditionalFormatting sqref="K75:K87">
    <cfRule type="cellIs" dxfId="0" priority="1" stopIfTrue="1" operator="lessThan">
      <formula>0</formula>
    </cfRule>
  </conditionalFormatting>
  <pageMargins left="0.75" right="0.75" top="1" bottom="1" header="0.511805555555556" footer="0.511805555555556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50"/>
  <sheetViews>
    <sheetView showZeros="0" workbookViewId="0">
      <pane xSplit="3" ySplit="4" topLeftCell="D5" activePane="bottomRight" state="frozen"/>
      <selection/>
      <selection pane="topRight"/>
      <selection pane="bottomLeft"/>
      <selection pane="bottomRight" activeCell="H108" sqref="H7:H108"/>
    </sheetView>
  </sheetViews>
  <sheetFormatPr defaultColWidth="9" defaultRowHeight="18.75" customHeight="1"/>
  <cols>
    <col min="1" max="1" width="0.875" style="16" customWidth="1"/>
    <col min="2" max="2" width="6.25" style="14" customWidth="1"/>
    <col min="3" max="3" width="23.75" style="17" customWidth="1"/>
    <col min="4" max="4" width="9.625" style="16" customWidth="1"/>
    <col min="5" max="5" width="9.75" style="16" customWidth="1"/>
    <col min="6" max="6" width="10.125" style="16" customWidth="1"/>
    <col min="7" max="7" width="9" style="15"/>
    <col min="8" max="8" width="10.5" style="16" customWidth="1"/>
    <col min="9" max="9" width="8.75" style="16" customWidth="1"/>
    <col min="10" max="10" width="8.625" style="15" customWidth="1"/>
    <col min="11" max="11" width="8.375" style="16" customWidth="1"/>
    <col min="12" max="12" width="19.75" style="16" customWidth="1"/>
    <col min="13" max="16384" width="9" style="16"/>
  </cols>
  <sheetData>
    <row r="1" ht="27.95" customHeight="1" spans="2:12">
      <c r="B1" s="18" t="s">
        <v>1131</v>
      </c>
      <c r="C1" s="19"/>
      <c r="D1" s="20"/>
      <c r="E1" s="20"/>
      <c r="F1" s="20"/>
      <c r="G1" s="20"/>
      <c r="H1" s="20"/>
      <c r="I1" s="20"/>
      <c r="J1" s="20"/>
      <c r="K1" s="20"/>
      <c r="L1" s="59"/>
    </row>
    <row r="2" ht="21.75" customHeight="1" spans="2:12">
      <c r="B2" s="21" t="s">
        <v>2</v>
      </c>
      <c r="C2" s="22" t="s">
        <v>3</v>
      </c>
      <c r="D2" s="23" t="s">
        <v>749</v>
      </c>
      <c r="E2" s="24"/>
      <c r="F2" s="24"/>
      <c r="G2" s="24"/>
      <c r="H2" s="24"/>
      <c r="I2" s="23" t="s">
        <v>5</v>
      </c>
      <c r="J2" s="23" t="s">
        <v>6</v>
      </c>
      <c r="K2" s="60" t="s">
        <v>7</v>
      </c>
      <c r="L2" s="61" t="s">
        <v>8</v>
      </c>
    </row>
    <row r="3" ht="21.75" customHeight="1" spans="2:12">
      <c r="B3" s="25"/>
      <c r="C3" s="26"/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30"/>
      <c r="J3" s="30"/>
      <c r="K3" s="62"/>
      <c r="L3" s="63"/>
    </row>
    <row r="4" ht="21.75" customHeight="1" spans="2:12">
      <c r="B4" s="28" t="s">
        <v>14</v>
      </c>
      <c r="C4" s="29" t="s">
        <v>15</v>
      </c>
      <c r="D4" s="30" t="e">
        <f>SUM(D109:D304)</f>
        <v>#REF!</v>
      </c>
      <c r="E4" s="30">
        <f t="shared" ref="E4:G4" si="0">SUM(E109:E304)</f>
        <v>20021.48</v>
      </c>
      <c r="F4" s="30">
        <f t="shared" si="0"/>
        <v>5225.334</v>
      </c>
      <c r="G4" s="30">
        <f t="shared" si="0"/>
        <v>200.04</v>
      </c>
      <c r="H4" s="30" t="e">
        <f>SUM(D4:G4)</f>
        <v>#REF!</v>
      </c>
      <c r="I4" s="64"/>
      <c r="J4" s="65"/>
      <c r="K4" s="62"/>
      <c r="L4" s="63"/>
    </row>
    <row r="5" s="12" customFormat="1" ht="21.75" customHeight="1" spans="2:13">
      <c r="B5" s="31" t="s">
        <v>875</v>
      </c>
      <c r="C5" s="32" t="s">
        <v>1132</v>
      </c>
      <c r="D5" s="33"/>
      <c r="E5" s="33"/>
      <c r="F5" s="33"/>
      <c r="G5" s="33"/>
      <c r="H5" s="33">
        <f>SUM(H6:H55)</f>
        <v>19805.5494</v>
      </c>
      <c r="I5" s="66"/>
      <c r="J5" s="67"/>
      <c r="K5" s="66"/>
      <c r="L5" s="68"/>
      <c r="M5" s="33">
        <v>19889.2594</v>
      </c>
    </row>
    <row r="6" s="12" customFormat="1" ht="21.75" customHeight="1" spans="2:12">
      <c r="B6" s="34" t="s">
        <v>18</v>
      </c>
      <c r="C6" s="35" t="s">
        <v>877</v>
      </c>
      <c r="D6" s="36"/>
      <c r="E6" s="36"/>
      <c r="F6" s="36"/>
      <c r="G6" s="37"/>
      <c r="H6" s="37"/>
      <c r="I6" s="69"/>
      <c r="J6" s="36"/>
      <c r="K6" s="70"/>
      <c r="L6" s="68"/>
    </row>
    <row r="7" s="12" customFormat="1" ht="21.75" customHeight="1" spans="2:12">
      <c r="B7" s="34"/>
      <c r="C7" s="38" t="s">
        <v>1133</v>
      </c>
      <c r="D7" s="39">
        <v>96.5594</v>
      </c>
      <c r="E7" s="39"/>
      <c r="F7" s="39"/>
      <c r="G7" s="40"/>
      <c r="H7" s="40">
        <v>96.5594</v>
      </c>
      <c r="I7" s="71" t="s">
        <v>29</v>
      </c>
      <c r="J7" s="71">
        <v>1169</v>
      </c>
      <c r="K7" s="71">
        <v>826</v>
      </c>
      <c r="L7" s="68"/>
    </row>
    <row r="8" s="12" customFormat="1" ht="21.75" customHeight="1" spans="2:12">
      <c r="B8" s="41" t="s">
        <v>40</v>
      </c>
      <c r="C8" s="42" t="s">
        <v>837</v>
      </c>
      <c r="D8" s="39"/>
      <c r="E8" s="39"/>
      <c r="F8" s="39"/>
      <c r="G8" s="40"/>
      <c r="H8" s="40"/>
      <c r="I8" s="71"/>
      <c r="J8" s="71"/>
      <c r="K8" s="71"/>
      <c r="L8" s="68"/>
    </row>
    <row r="9" s="12" customFormat="1" ht="21.75" customHeight="1" spans="2:12">
      <c r="B9" s="41"/>
      <c r="C9" s="43" t="s">
        <v>757</v>
      </c>
      <c r="D9" s="44">
        <f>J9*K9/10000</f>
        <v>4000</v>
      </c>
      <c r="E9" s="44"/>
      <c r="F9" s="44"/>
      <c r="G9" s="45"/>
      <c r="H9" s="45">
        <f>J9*K9/10000</f>
        <v>4000</v>
      </c>
      <c r="I9" s="72" t="s">
        <v>29</v>
      </c>
      <c r="J9" s="72">
        <v>10000</v>
      </c>
      <c r="K9" s="72">
        <v>4000</v>
      </c>
      <c r="L9" s="73"/>
    </row>
    <row r="10" s="12" customFormat="1" ht="21.75" customHeight="1" spans="2:12">
      <c r="B10" s="41"/>
      <c r="C10" s="43" t="s">
        <v>759</v>
      </c>
      <c r="D10" s="44">
        <f>H10</f>
        <v>1312.5</v>
      </c>
      <c r="E10" s="44"/>
      <c r="F10" s="44"/>
      <c r="G10" s="45"/>
      <c r="H10" s="45">
        <f>J10*K10/10000</f>
        <v>1312.5</v>
      </c>
      <c r="I10" s="72" t="s">
        <v>760</v>
      </c>
      <c r="J10" s="72">
        <v>262500</v>
      </c>
      <c r="K10" s="72">
        <v>50</v>
      </c>
      <c r="L10" s="68"/>
    </row>
    <row r="11" s="12" customFormat="1" ht="21.75" customHeight="1" spans="2:12">
      <c r="B11" s="46" t="s">
        <v>45</v>
      </c>
      <c r="C11" s="47" t="s">
        <v>885</v>
      </c>
      <c r="D11" s="48"/>
      <c r="E11" s="48"/>
      <c r="F11" s="48"/>
      <c r="G11" s="48"/>
      <c r="H11" s="48"/>
      <c r="I11" s="74"/>
      <c r="J11" s="74"/>
      <c r="K11" s="74"/>
      <c r="L11" s="68"/>
    </row>
    <row r="12" s="12" customFormat="1" ht="21.75" customHeight="1" spans="2:12">
      <c r="B12" s="46" t="s">
        <v>765</v>
      </c>
      <c r="C12" s="49" t="s">
        <v>1134</v>
      </c>
      <c r="D12" s="48">
        <f>H12*0.85</f>
        <v>306</v>
      </c>
      <c r="E12" s="48"/>
      <c r="F12" s="48"/>
      <c r="G12" s="48"/>
      <c r="H12" s="48">
        <f>J12*K12*0.0001</f>
        <v>360</v>
      </c>
      <c r="I12" s="75" t="s">
        <v>767</v>
      </c>
      <c r="J12" s="48">
        <f>1500*30</f>
        <v>45000</v>
      </c>
      <c r="K12" s="76">
        <v>80</v>
      </c>
      <c r="L12" s="68"/>
    </row>
    <row r="13" s="12" customFormat="1" ht="21.75" customHeight="1" spans="2:12">
      <c r="B13" s="46" t="s">
        <v>768</v>
      </c>
      <c r="C13" s="49" t="s">
        <v>886</v>
      </c>
      <c r="D13" s="48">
        <f>H13*0.6</f>
        <v>810</v>
      </c>
      <c r="E13" s="48"/>
      <c r="F13" s="48"/>
      <c r="G13" s="48"/>
      <c r="H13" s="48">
        <f>J13*K13*0.0001</f>
        <v>1350</v>
      </c>
      <c r="I13" s="51" t="s">
        <v>760</v>
      </c>
      <c r="J13" s="77">
        <v>112500</v>
      </c>
      <c r="K13" s="76">
        <v>120</v>
      </c>
      <c r="L13" s="68"/>
    </row>
    <row r="14" s="12" customFormat="1" ht="21.75" customHeight="1" spans="2:12">
      <c r="B14" s="41" t="s">
        <v>47</v>
      </c>
      <c r="C14" s="42" t="s">
        <v>840</v>
      </c>
      <c r="D14" s="39">
        <v>360</v>
      </c>
      <c r="E14" s="39"/>
      <c r="F14" s="39"/>
      <c r="G14" s="40"/>
      <c r="H14" s="40">
        <v>360</v>
      </c>
      <c r="I14" s="71" t="s">
        <v>841</v>
      </c>
      <c r="J14" s="71">
        <v>1</v>
      </c>
      <c r="K14" s="71"/>
      <c r="L14" s="68"/>
    </row>
    <row r="15" s="12" customFormat="1" ht="21.75" customHeight="1" spans="2:12">
      <c r="B15" s="41" t="s">
        <v>51</v>
      </c>
      <c r="C15" s="42" t="s">
        <v>842</v>
      </c>
      <c r="D15" s="39">
        <v>450</v>
      </c>
      <c r="E15" s="39"/>
      <c r="F15" s="39"/>
      <c r="G15" s="40"/>
      <c r="H15" s="40">
        <v>450</v>
      </c>
      <c r="I15" s="71" t="s">
        <v>841</v>
      </c>
      <c r="J15" s="71">
        <v>1</v>
      </c>
      <c r="K15" s="71"/>
      <c r="L15" s="68"/>
    </row>
    <row r="16" s="12" customFormat="1" ht="21.75" customHeight="1" spans="2:12">
      <c r="B16" s="46" t="s">
        <v>53</v>
      </c>
      <c r="C16" s="49" t="s">
        <v>887</v>
      </c>
      <c r="D16" s="48">
        <v>0</v>
      </c>
      <c r="E16" s="48"/>
      <c r="F16" s="48"/>
      <c r="G16" s="48"/>
      <c r="H16" s="48"/>
      <c r="I16" s="74"/>
      <c r="J16" s="48"/>
      <c r="K16" s="76"/>
      <c r="L16" s="68"/>
    </row>
    <row r="17" s="12" customFormat="1" ht="21.75" customHeight="1" spans="2:12">
      <c r="B17" s="46" t="s">
        <v>844</v>
      </c>
      <c r="C17" s="50" t="s">
        <v>1135</v>
      </c>
      <c r="D17" s="48">
        <f>H17</f>
        <v>32</v>
      </c>
      <c r="E17" s="48"/>
      <c r="F17" s="48"/>
      <c r="G17" s="48"/>
      <c r="H17" s="48">
        <f>J17*K17/10000</f>
        <v>32</v>
      </c>
      <c r="I17" s="51" t="s">
        <v>760</v>
      </c>
      <c r="J17" s="77">
        <f>320*0.2</f>
        <v>64</v>
      </c>
      <c r="K17" s="76">
        <v>5000</v>
      </c>
      <c r="L17" s="68"/>
    </row>
    <row r="18" s="12" customFormat="1" ht="21.75" customHeight="1" spans="2:12">
      <c r="B18" s="46" t="s">
        <v>845</v>
      </c>
      <c r="C18" s="50" t="s">
        <v>1136</v>
      </c>
      <c r="D18" s="48">
        <f t="shared" ref="D18:D27" si="1">H18</f>
        <v>840</v>
      </c>
      <c r="E18" s="48"/>
      <c r="F18" s="48"/>
      <c r="G18" s="48"/>
      <c r="H18" s="48">
        <f t="shared" ref="H18:H21" si="2">J18*K18*0.0001</f>
        <v>840</v>
      </c>
      <c r="I18" s="75" t="s">
        <v>767</v>
      </c>
      <c r="J18" s="77">
        <v>56000</v>
      </c>
      <c r="K18" s="76">
        <v>150</v>
      </c>
      <c r="L18" s="68"/>
    </row>
    <row r="19" s="12" customFormat="1" ht="21.75" customHeight="1" spans="2:12">
      <c r="B19" s="46" t="s">
        <v>846</v>
      </c>
      <c r="C19" s="50" t="s">
        <v>1137</v>
      </c>
      <c r="D19" s="48">
        <f t="shared" si="1"/>
        <v>32.04</v>
      </c>
      <c r="E19" s="48"/>
      <c r="F19" s="48"/>
      <c r="G19" s="48"/>
      <c r="H19" s="48">
        <f t="shared" si="2"/>
        <v>32.04</v>
      </c>
      <c r="I19" s="75" t="s">
        <v>767</v>
      </c>
      <c r="J19" s="77">
        <f>18000*0.2</f>
        <v>3600</v>
      </c>
      <c r="K19" s="76">
        <v>89</v>
      </c>
      <c r="L19" s="68"/>
    </row>
    <row r="20" s="12" customFormat="1" ht="21.75" customHeight="1" spans="2:12">
      <c r="B20" s="46" t="s">
        <v>847</v>
      </c>
      <c r="C20" s="50" t="s">
        <v>1138</v>
      </c>
      <c r="D20" s="48">
        <f t="shared" si="1"/>
        <v>8</v>
      </c>
      <c r="E20" s="48"/>
      <c r="F20" s="48"/>
      <c r="G20" s="48"/>
      <c r="H20" s="48">
        <f t="shared" si="2"/>
        <v>8</v>
      </c>
      <c r="I20" s="51" t="s">
        <v>1139</v>
      </c>
      <c r="J20" s="77">
        <v>10</v>
      </c>
      <c r="K20" s="76">
        <v>8000</v>
      </c>
      <c r="L20" s="68"/>
    </row>
    <row r="21" s="12" customFormat="1" ht="21.75" customHeight="1" spans="2:12">
      <c r="B21" s="46" t="s">
        <v>848</v>
      </c>
      <c r="C21" s="50" t="s">
        <v>1140</v>
      </c>
      <c r="D21" s="48">
        <f t="shared" si="1"/>
        <v>3465</v>
      </c>
      <c r="E21" s="48"/>
      <c r="F21" s="48"/>
      <c r="G21" s="48"/>
      <c r="H21" s="48">
        <f t="shared" si="2"/>
        <v>3465</v>
      </c>
      <c r="I21" s="75" t="s">
        <v>767</v>
      </c>
      <c r="J21" s="77">
        <v>105000</v>
      </c>
      <c r="K21" s="76">
        <v>330</v>
      </c>
      <c r="L21" s="68"/>
    </row>
    <row r="22" s="12" customFormat="1" ht="21.75" customHeight="1" spans="2:12">
      <c r="B22" s="46" t="s">
        <v>850</v>
      </c>
      <c r="C22" s="50" t="s">
        <v>890</v>
      </c>
      <c r="D22" s="48">
        <f t="shared" si="1"/>
        <v>0</v>
      </c>
      <c r="E22" s="48"/>
      <c r="F22" s="48"/>
      <c r="G22" s="48"/>
      <c r="H22" s="48"/>
      <c r="I22" s="75"/>
      <c r="J22" s="74"/>
      <c r="K22" s="76"/>
      <c r="L22" s="68"/>
    </row>
    <row r="23" s="12" customFormat="1" ht="21.75" customHeight="1" spans="2:12">
      <c r="B23" s="46" t="s">
        <v>851</v>
      </c>
      <c r="C23" s="50" t="s">
        <v>1141</v>
      </c>
      <c r="D23" s="48">
        <f t="shared" si="1"/>
        <v>267</v>
      </c>
      <c r="E23" s="48"/>
      <c r="F23" s="48"/>
      <c r="G23" s="48"/>
      <c r="H23" s="48">
        <f t="shared" ref="H23:H27" si="3">J23*K23*0.0001</f>
        <v>267</v>
      </c>
      <c r="I23" s="75" t="s">
        <v>767</v>
      </c>
      <c r="J23" s="77">
        <v>15000</v>
      </c>
      <c r="K23" s="76">
        <v>178</v>
      </c>
      <c r="L23" s="68"/>
    </row>
    <row r="24" s="12" customFormat="1" ht="21.75" customHeight="1" spans="2:12">
      <c r="B24" s="46" t="s">
        <v>852</v>
      </c>
      <c r="C24" s="50" t="s">
        <v>1142</v>
      </c>
      <c r="D24" s="48">
        <f t="shared" si="1"/>
        <v>240</v>
      </c>
      <c r="E24" s="48"/>
      <c r="F24" s="48"/>
      <c r="G24" s="48"/>
      <c r="H24" s="48">
        <f t="shared" si="3"/>
        <v>240</v>
      </c>
      <c r="I24" s="75" t="s">
        <v>767</v>
      </c>
      <c r="J24" s="77">
        <v>20000</v>
      </c>
      <c r="K24" s="76">
        <v>120</v>
      </c>
      <c r="L24" s="68"/>
    </row>
    <row r="25" s="12" customFormat="1" ht="21.75" customHeight="1" spans="2:12">
      <c r="B25" s="46" t="s">
        <v>853</v>
      </c>
      <c r="C25" s="50" t="s">
        <v>1143</v>
      </c>
      <c r="D25" s="48">
        <f t="shared" si="1"/>
        <v>97.5</v>
      </c>
      <c r="E25" s="48"/>
      <c r="F25" s="48"/>
      <c r="G25" s="48"/>
      <c r="H25" s="48">
        <f t="shared" si="3"/>
        <v>97.5</v>
      </c>
      <c r="I25" s="75" t="s">
        <v>767</v>
      </c>
      <c r="J25" s="77">
        <v>15000</v>
      </c>
      <c r="K25" s="76">
        <v>65</v>
      </c>
      <c r="L25" s="68"/>
    </row>
    <row r="26" s="12" customFormat="1" ht="21.75" customHeight="1" spans="2:12">
      <c r="B26" s="46" t="s">
        <v>854</v>
      </c>
      <c r="C26" s="50" t="s">
        <v>1144</v>
      </c>
      <c r="D26" s="48">
        <f t="shared" si="1"/>
        <v>50</v>
      </c>
      <c r="E26" s="48"/>
      <c r="F26" s="48"/>
      <c r="G26" s="48"/>
      <c r="H26" s="48">
        <f t="shared" si="3"/>
        <v>50</v>
      </c>
      <c r="I26" s="51" t="s">
        <v>760</v>
      </c>
      <c r="J26" s="77">
        <f>100000*0.2</f>
        <v>20000</v>
      </c>
      <c r="K26" s="76">
        <v>25</v>
      </c>
      <c r="L26" s="68"/>
    </row>
    <row r="27" s="12" customFormat="1" ht="21.75" customHeight="1" spans="2:12">
      <c r="B27" s="46" t="s">
        <v>855</v>
      </c>
      <c r="C27" s="51" t="s">
        <v>1145</v>
      </c>
      <c r="D27" s="48">
        <f t="shared" si="1"/>
        <v>40</v>
      </c>
      <c r="E27" s="48"/>
      <c r="F27" s="48"/>
      <c r="G27" s="48"/>
      <c r="H27" s="48">
        <f t="shared" si="3"/>
        <v>40</v>
      </c>
      <c r="I27" s="51" t="s">
        <v>760</v>
      </c>
      <c r="J27" s="77">
        <f>100000*0.2</f>
        <v>20000</v>
      </c>
      <c r="K27" s="76">
        <v>20</v>
      </c>
      <c r="L27" s="68"/>
    </row>
    <row r="28" s="12" customFormat="1" ht="21.75" customHeight="1" spans="2:12">
      <c r="B28" s="41" t="s">
        <v>55</v>
      </c>
      <c r="C28" s="42" t="s">
        <v>857</v>
      </c>
      <c r="D28" s="39">
        <v>0</v>
      </c>
      <c r="E28" s="39"/>
      <c r="F28" s="39"/>
      <c r="G28" s="40"/>
      <c r="H28" s="40"/>
      <c r="I28" s="71"/>
      <c r="J28" s="71"/>
      <c r="K28" s="71"/>
      <c r="L28" s="68"/>
    </row>
    <row r="29" s="12" customFormat="1" ht="21.75" customHeight="1" spans="2:12">
      <c r="B29" s="41"/>
      <c r="C29" s="52" t="s">
        <v>1146</v>
      </c>
      <c r="D29" s="36">
        <f>H29</f>
        <v>609</v>
      </c>
      <c r="E29" s="36"/>
      <c r="F29" s="36"/>
      <c r="G29" s="37"/>
      <c r="H29" s="37">
        <f>J29*K29/10000</f>
        <v>609</v>
      </c>
      <c r="I29" s="69" t="s">
        <v>767</v>
      </c>
      <c r="J29" s="69">
        <f>35000*0.5</f>
        <v>17500</v>
      </c>
      <c r="K29" s="78">
        <v>348</v>
      </c>
      <c r="L29" s="68"/>
    </row>
    <row r="30" s="12" customFormat="1" ht="21.75" customHeight="1" spans="2:12">
      <c r="B30" s="41"/>
      <c r="C30" s="52" t="s">
        <v>1147</v>
      </c>
      <c r="D30" s="36">
        <f t="shared" ref="D30:D38" si="4">H30</f>
        <v>750</v>
      </c>
      <c r="E30" s="36"/>
      <c r="F30" s="36"/>
      <c r="G30" s="37"/>
      <c r="H30" s="37">
        <f t="shared" ref="H30:H38" si="5">J30*K30/10000</f>
        <v>750</v>
      </c>
      <c r="I30" s="69" t="s">
        <v>767</v>
      </c>
      <c r="J30" s="69">
        <v>3000</v>
      </c>
      <c r="K30" s="78">
        <v>2500</v>
      </c>
      <c r="L30" s="68"/>
    </row>
    <row r="31" s="12" customFormat="1" ht="21.75" customHeight="1" spans="2:12">
      <c r="B31" s="41"/>
      <c r="C31" s="53" t="s">
        <v>1148</v>
      </c>
      <c r="D31" s="36">
        <f t="shared" si="4"/>
        <v>1496.25</v>
      </c>
      <c r="E31" s="36"/>
      <c r="F31" s="36"/>
      <c r="G31" s="37"/>
      <c r="H31" s="37">
        <f t="shared" si="5"/>
        <v>1496.25</v>
      </c>
      <c r="I31" s="69" t="s">
        <v>767</v>
      </c>
      <c r="J31" s="69">
        <f>7500*2*5*0.7</f>
        <v>52500</v>
      </c>
      <c r="K31" s="78">
        <v>285</v>
      </c>
      <c r="L31" s="68"/>
    </row>
    <row r="32" s="12" customFormat="1" ht="21.75" customHeight="1" spans="2:12">
      <c r="B32" s="41"/>
      <c r="C32" s="52" t="s">
        <v>1149</v>
      </c>
      <c r="D32" s="36">
        <f t="shared" si="4"/>
        <v>30</v>
      </c>
      <c r="E32" s="36"/>
      <c r="F32" s="36"/>
      <c r="G32" s="37"/>
      <c r="H32" s="37">
        <f t="shared" si="5"/>
        <v>30</v>
      </c>
      <c r="I32" s="79" t="s">
        <v>26</v>
      </c>
      <c r="J32" s="69">
        <v>100</v>
      </c>
      <c r="K32" s="78">
        <v>3000</v>
      </c>
      <c r="L32" s="68"/>
    </row>
    <row r="33" s="12" customFormat="1" ht="21.75" customHeight="1" spans="2:12">
      <c r="B33" s="41"/>
      <c r="C33" s="52" t="s">
        <v>1150</v>
      </c>
      <c r="D33" s="36">
        <f t="shared" si="4"/>
        <v>15</v>
      </c>
      <c r="E33" s="36"/>
      <c r="F33" s="36"/>
      <c r="G33" s="37"/>
      <c r="H33" s="37">
        <f t="shared" si="5"/>
        <v>15</v>
      </c>
      <c r="I33" s="79" t="s">
        <v>26</v>
      </c>
      <c r="J33" s="69">
        <v>100</v>
      </c>
      <c r="K33" s="78">
        <v>1500</v>
      </c>
      <c r="L33" s="68"/>
    </row>
    <row r="34" s="12" customFormat="1" ht="21.75" customHeight="1" spans="2:12">
      <c r="B34" s="41"/>
      <c r="C34" s="52" t="s">
        <v>1151</v>
      </c>
      <c r="D34" s="36">
        <f t="shared" si="4"/>
        <v>12.5</v>
      </c>
      <c r="E34" s="36"/>
      <c r="F34" s="36"/>
      <c r="G34" s="37"/>
      <c r="H34" s="37">
        <f t="shared" si="5"/>
        <v>12.5</v>
      </c>
      <c r="I34" s="79" t="s">
        <v>26</v>
      </c>
      <c r="J34" s="69">
        <v>50</v>
      </c>
      <c r="K34" s="78">
        <v>2500</v>
      </c>
      <c r="L34" s="68"/>
    </row>
    <row r="35" s="12" customFormat="1" ht="21.75" customHeight="1" spans="2:12">
      <c r="B35" s="41"/>
      <c r="C35" s="52" t="s">
        <v>1152</v>
      </c>
      <c r="D35" s="36">
        <f t="shared" si="4"/>
        <v>450</v>
      </c>
      <c r="E35" s="36"/>
      <c r="F35" s="36"/>
      <c r="G35" s="37"/>
      <c r="H35" s="37">
        <f t="shared" si="5"/>
        <v>450</v>
      </c>
      <c r="I35" s="79" t="s">
        <v>29</v>
      </c>
      <c r="J35" s="69">
        <v>3000</v>
      </c>
      <c r="K35" s="78">
        <v>1500</v>
      </c>
      <c r="L35" s="68"/>
    </row>
    <row r="36" s="12" customFormat="1" ht="21.75" customHeight="1" spans="2:12">
      <c r="B36" s="41"/>
      <c r="C36" s="52" t="s">
        <v>1153</v>
      </c>
      <c r="D36" s="36">
        <f t="shared" si="4"/>
        <v>55</v>
      </c>
      <c r="E36" s="36"/>
      <c r="F36" s="36"/>
      <c r="G36" s="37"/>
      <c r="H36" s="37">
        <f t="shared" si="5"/>
        <v>55</v>
      </c>
      <c r="I36" s="79" t="s">
        <v>863</v>
      </c>
      <c r="J36" s="69">
        <v>5</v>
      </c>
      <c r="K36" s="78">
        <v>110000</v>
      </c>
      <c r="L36" s="68"/>
    </row>
    <row r="37" s="12" customFormat="1" ht="21.75" customHeight="1" spans="2:12">
      <c r="B37" s="41"/>
      <c r="C37" s="52" t="s">
        <v>1154</v>
      </c>
      <c r="D37" s="36">
        <f t="shared" si="4"/>
        <v>225</v>
      </c>
      <c r="E37" s="36"/>
      <c r="F37" s="36"/>
      <c r="G37" s="37"/>
      <c r="H37" s="37">
        <f t="shared" si="5"/>
        <v>225</v>
      </c>
      <c r="I37" s="69" t="s">
        <v>767</v>
      </c>
      <c r="J37" s="69">
        <f>150000*0.5</f>
        <v>75000</v>
      </c>
      <c r="K37" s="78">
        <v>30</v>
      </c>
      <c r="L37" s="68"/>
    </row>
    <row r="38" s="12" customFormat="1" ht="21.75" customHeight="1" spans="2:12">
      <c r="B38" s="41"/>
      <c r="C38" s="52" t="s">
        <v>1155</v>
      </c>
      <c r="D38" s="36">
        <f t="shared" si="4"/>
        <v>382</v>
      </c>
      <c r="E38" s="36"/>
      <c r="F38" s="36"/>
      <c r="G38" s="37"/>
      <c r="H38" s="37">
        <f t="shared" si="5"/>
        <v>382</v>
      </c>
      <c r="I38" s="79" t="s">
        <v>841</v>
      </c>
      <c r="J38" s="69">
        <v>1</v>
      </c>
      <c r="K38" s="78">
        <v>3820000</v>
      </c>
      <c r="L38" s="68"/>
    </row>
    <row r="39" s="12" customFormat="1" ht="21.75" customHeight="1" spans="2:12">
      <c r="B39" s="41" t="s">
        <v>59</v>
      </c>
      <c r="C39" s="42" t="s">
        <v>861</v>
      </c>
      <c r="D39" s="39">
        <v>0</v>
      </c>
      <c r="E39" s="39"/>
      <c r="F39" s="39"/>
      <c r="G39" s="40"/>
      <c r="H39" s="40">
        <v>0</v>
      </c>
      <c r="I39" s="71"/>
      <c r="J39" s="71"/>
      <c r="K39" s="71"/>
      <c r="L39" s="68"/>
    </row>
    <row r="40" s="12" customFormat="1" ht="21.75" customHeight="1" spans="2:12">
      <c r="B40" s="41"/>
      <c r="C40" s="54" t="s">
        <v>862</v>
      </c>
      <c r="D40" s="39">
        <v>400</v>
      </c>
      <c r="E40" s="39"/>
      <c r="F40" s="39"/>
      <c r="G40" s="40"/>
      <c r="H40" s="40">
        <v>400</v>
      </c>
      <c r="I40" s="71" t="s">
        <v>863</v>
      </c>
      <c r="J40" s="71">
        <v>5</v>
      </c>
      <c r="K40" s="71">
        <v>800000</v>
      </c>
      <c r="L40" s="68"/>
    </row>
    <row r="41" s="12" customFormat="1" ht="21.75" customHeight="1" spans="2:12">
      <c r="B41" s="41"/>
      <c r="C41" s="54" t="s">
        <v>864</v>
      </c>
      <c r="D41" s="39">
        <v>60</v>
      </c>
      <c r="E41" s="39"/>
      <c r="F41" s="39"/>
      <c r="G41" s="40"/>
      <c r="H41" s="40">
        <v>60</v>
      </c>
      <c r="I41" s="71" t="s">
        <v>863</v>
      </c>
      <c r="J41" s="71">
        <v>4</v>
      </c>
      <c r="K41" s="71">
        <v>150000</v>
      </c>
      <c r="L41" s="68"/>
    </row>
    <row r="42" s="12" customFormat="1" ht="21.75" customHeight="1" spans="2:12">
      <c r="B42" s="41"/>
      <c r="C42" s="54" t="s">
        <v>1156</v>
      </c>
      <c r="D42" s="39">
        <v>50</v>
      </c>
      <c r="E42" s="39"/>
      <c r="F42" s="39"/>
      <c r="G42" s="40"/>
      <c r="H42" s="40">
        <v>50</v>
      </c>
      <c r="I42" s="71" t="s">
        <v>863</v>
      </c>
      <c r="J42" s="71">
        <v>1</v>
      </c>
      <c r="K42" s="71">
        <v>500000</v>
      </c>
      <c r="L42" s="68"/>
    </row>
    <row r="43" s="12" customFormat="1" ht="21.75" customHeight="1" spans="2:12">
      <c r="B43" s="41"/>
      <c r="C43" s="54" t="s">
        <v>1157</v>
      </c>
      <c r="D43" s="39">
        <v>50</v>
      </c>
      <c r="E43" s="39"/>
      <c r="F43" s="39"/>
      <c r="G43" s="40"/>
      <c r="H43" s="40">
        <v>50</v>
      </c>
      <c r="I43" s="71" t="s">
        <v>863</v>
      </c>
      <c r="J43" s="71">
        <v>1</v>
      </c>
      <c r="K43" s="71">
        <v>500000</v>
      </c>
      <c r="L43" s="68"/>
    </row>
    <row r="44" s="12" customFormat="1" ht="21.75" customHeight="1" spans="2:12">
      <c r="B44" s="41"/>
      <c r="C44" s="54" t="s">
        <v>1158</v>
      </c>
      <c r="D44" s="39">
        <v>30</v>
      </c>
      <c r="E44" s="39"/>
      <c r="F44" s="39"/>
      <c r="G44" s="40"/>
      <c r="H44" s="40">
        <v>30</v>
      </c>
      <c r="I44" s="71" t="s">
        <v>863</v>
      </c>
      <c r="J44" s="71">
        <v>1</v>
      </c>
      <c r="K44" s="71">
        <v>300000</v>
      </c>
      <c r="L44" s="68"/>
    </row>
    <row r="45" s="12" customFormat="1" ht="21.75" customHeight="1" spans="2:12">
      <c r="B45" s="41"/>
      <c r="C45" s="54" t="s">
        <v>865</v>
      </c>
      <c r="D45" s="39">
        <v>32.5</v>
      </c>
      <c r="E45" s="39"/>
      <c r="F45" s="39"/>
      <c r="G45" s="40"/>
      <c r="H45" s="40">
        <v>32.5</v>
      </c>
      <c r="I45" s="71" t="s">
        <v>863</v>
      </c>
      <c r="J45" s="71">
        <v>13</v>
      </c>
      <c r="K45" s="71">
        <v>25000</v>
      </c>
      <c r="L45" s="68"/>
    </row>
    <row r="46" s="12" customFormat="1" ht="21.75" customHeight="1" spans="2:12">
      <c r="B46" s="41"/>
      <c r="C46" s="54" t="s">
        <v>866</v>
      </c>
      <c r="D46" s="39">
        <v>375</v>
      </c>
      <c r="E46" s="39"/>
      <c r="F46" s="39"/>
      <c r="G46" s="40"/>
      <c r="H46" s="40">
        <v>375</v>
      </c>
      <c r="I46" s="71" t="s">
        <v>820</v>
      </c>
      <c r="J46" s="71">
        <v>15</v>
      </c>
      <c r="K46" s="71">
        <v>250000</v>
      </c>
      <c r="L46" s="68"/>
    </row>
    <row r="47" s="12" customFormat="1" ht="21.75" customHeight="1" spans="2:12">
      <c r="B47" s="41"/>
      <c r="C47" s="54" t="s">
        <v>867</v>
      </c>
      <c r="D47" s="39">
        <v>90</v>
      </c>
      <c r="E47" s="39"/>
      <c r="F47" s="39"/>
      <c r="G47" s="40"/>
      <c r="H47" s="40">
        <v>90</v>
      </c>
      <c r="I47" s="71" t="s">
        <v>820</v>
      </c>
      <c r="J47" s="71">
        <v>5</v>
      </c>
      <c r="K47" s="71">
        <v>180000</v>
      </c>
      <c r="L47" s="68"/>
    </row>
    <row r="48" s="12" customFormat="1" ht="21.75" customHeight="1" spans="2:12">
      <c r="B48" s="41"/>
      <c r="C48" s="54" t="s">
        <v>868</v>
      </c>
      <c r="D48" s="39">
        <v>30</v>
      </c>
      <c r="E48" s="39"/>
      <c r="F48" s="39"/>
      <c r="G48" s="40"/>
      <c r="H48" s="40">
        <v>30</v>
      </c>
      <c r="I48" s="71" t="s">
        <v>820</v>
      </c>
      <c r="J48" s="71">
        <v>5</v>
      </c>
      <c r="K48" s="71">
        <v>60000</v>
      </c>
      <c r="L48" s="68"/>
    </row>
    <row r="49" s="12" customFormat="1" ht="21.75" customHeight="1" spans="2:12">
      <c r="B49" s="41"/>
      <c r="C49" s="54" t="s">
        <v>869</v>
      </c>
      <c r="D49" s="39">
        <v>97.5</v>
      </c>
      <c r="E49" s="39"/>
      <c r="F49" s="39"/>
      <c r="G49" s="40"/>
      <c r="H49" s="40">
        <v>97.5</v>
      </c>
      <c r="I49" s="71" t="s">
        <v>26</v>
      </c>
      <c r="J49" s="71">
        <v>325</v>
      </c>
      <c r="K49" s="71">
        <v>3000</v>
      </c>
      <c r="L49" s="68"/>
    </row>
    <row r="50" s="12" customFormat="1" ht="21.75" customHeight="1" spans="2:12">
      <c r="B50" s="41"/>
      <c r="C50" s="54" t="s">
        <v>870</v>
      </c>
      <c r="D50" s="39">
        <v>0.2</v>
      </c>
      <c r="E50" s="39"/>
      <c r="F50" s="39"/>
      <c r="G50" s="40"/>
      <c r="H50" s="40">
        <v>0.2</v>
      </c>
      <c r="I50" s="71" t="s">
        <v>314</v>
      </c>
      <c r="J50" s="71">
        <v>1</v>
      </c>
      <c r="K50" s="71">
        <v>2000</v>
      </c>
      <c r="L50" s="68"/>
    </row>
    <row r="51" s="12" customFormat="1" ht="21.75" customHeight="1" spans="2:12">
      <c r="B51" s="41"/>
      <c r="C51" s="54" t="s">
        <v>871</v>
      </c>
      <c r="D51" s="39">
        <v>500</v>
      </c>
      <c r="E51" s="39"/>
      <c r="F51" s="39"/>
      <c r="G51" s="40"/>
      <c r="H51" s="40">
        <v>500</v>
      </c>
      <c r="I51" s="71" t="s">
        <v>314</v>
      </c>
      <c r="J51" s="71">
        <v>25</v>
      </c>
      <c r="K51" s="71">
        <v>200000</v>
      </c>
      <c r="L51" s="68"/>
    </row>
    <row r="52" s="12" customFormat="1" ht="21.75" customHeight="1" spans="2:12">
      <c r="B52" s="41"/>
      <c r="C52" s="54" t="s">
        <v>872</v>
      </c>
      <c r="D52" s="39">
        <v>45</v>
      </c>
      <c r="E52" s="39"/>
      <c r="F52" s="39"/>
      <c r="G52" s="40"/>
      <c r="H52" s="40">
        <v>45</v>
      </c>
      <c r="I52" s="71" t="s">
        <v>820</v>
      </c>
      <c r="J52" s="71">
        <v>15</v>
      </c>
      <c r="K52" s="71">
        <v>30000</v>
      </c>
      <c r="L52" s="68"/>
    </row>
    <row r="53" s="12" customFormat="1" ht="21.75" customHeight="1" spans="2:12">
      <c r="B53" s="41"/>
      <c r="C53" s="54" t="s">
        <v>873</v>
      </c>
      <c r="D53" s="39">
        <v>90</v>
      </c>
      <c r="E53" s="39"/>
      <c r="F53" s="39"/>
      <c r="G53" s="40"/>
      <c r="H53" s="40">
        <v>90</v>
      </c>
      <c r="I53" s="71" t="s">
        <v>26</v>
      </c>
      <c r="J53" s="71">
        <v>300</v>
      </c>
      <c r="K53" s="71">
        <v>3000</v>
      </c>
      <c r="L53" s="68"/>
    </row>
    <row r="54" s="12" customFormat="1" ht="21.75" customHeight="1" spans="2:12">
      <c r="B54" s="41"/>
      <c r="C54" s="54" t="s">
        <v>1159</v>
      </c>
      <c r="D54" s="39">
        <v>400</v>
      </c>
      <c r="E54" s="39"/>
      <c r="F54" s="39"/>
      <c r="G54" s="40"/>
      <c r="H54" s="40">
        <v>400</v>
      </c>
      <c r="I54" s="71" t="s">
        <v>314</v>
      </c>
      <c r="J54" s="71">
        <v>1</v>
      </c>
      <c r="K54" s="71"/>
      <c r="L54" s="68"/>
    </row>
    <row r="55" s="12" customFormat="1" ht="21.75" customHeight="1" spans="2:12">
      <c r="B55" s="41"/>
      <c r="C55" s="54" t="s">
        <v>1160</v>
      </c>
      <c r="D55" s="39">
        <v>530</v>
      </c>
      <c r="E55" s="39"/>
      <c r="F55" s="39"/>
      <c r="G55" s="40"/>
      <c r="H55" s="40">
        <v>530</v>
      </c>
      <c r="I55" s="71" t="s">
        <v>314</v>
      </c>
      <c r="J55" s="71">
        <v>1</v>
      </c>
      <c r="K55" s="71"/>
      <c r="L55" s="68"/>
    </row>
    <row r="56" s="12" customFormat="1" ht="21.75" customHeight="1" spans="2:13">
      <c r="B56" s="31" t="s">
        <v>923</v>
      </c>
      <c r="C56" s="47" t="s">
        <v>1161</v>
      </c>
      <c r="D56" s="39">
        <v>0</v>
      </c>
      <c r="E56" s="33"/>
      <c r="F56" s="33"/>
      <c r="G56" s="33"/>
      <c r="H56" s="55">
        <f>SUM(H57:H108)</f>
        <v>11487.4777</v>
      </c>
      <c r="I56" s="66"/>
      <c r="J56" s="66"/>
      <c r="K56" s="66"/>
      <c r="L56" s="68"/>
      <c r="M56" s="55">
        <v>11695.9517</v>
      </c>
    </row>
    <row r="57" s="12" customFormat="1" ht="21.75" customHeight="1" spans="2:12">
      <c r="B57" s="34" t="s">
        <v>18</v>
      </c>
      <c r="C57" s="56" t="s">
        <v>877</v>
      </c>
      <c r="D57" s="36">
        <v>0</v>
      </c>
      <c r="E57" s="36"/>
      <c r="F57" s="36"/>
      <c r="G57" s="37"/>
      <c r="H57" s="37"/>
      <c r="I57" s="69"/>
      <c r="J57" s="36"/>
      <c r="K57" s="70"/>
      <c r="L57" s="68"/>
    </row>
    <row r="58" s="12" customFormat="1" ht="21.75" customHeight="1" spans="2:12">
      <c r="B58" s="34"/>
      <c r="C58" s="57" t="s">
        <v>753</v>
      </c>
      <c r="D58" s="36">
        <f t="shared" ref="D58:D60" si="6">H58</f>
        <v>85.078</v>
      </c>
      <c r="E58" s="36"/>
      <c r="F58" s="36"/>
      <c r="G58" s="37"/>
      <c r="H58" s="37">
        <f t="shared" ref="H58:H60" si="7">(J58*K58)/10000</f>
        <v>85.078</v>
      </c>
      <c r="I58" s="69" t="s">
        <v>29</v>
      </c>
      <c r="J58" s="69">
        <v>1030</v>
      </c>
      <c r="K58" s="78">
        <v>826</v>
      </c>
      <c r="L58" s="68"/>
    </row>
    <row r="59" s="12" customFormat="1" ht="21.75" customHeight="1" spans="2:12">
      <c r="B59" s="34"/>
      <c r="C59" s="57" t="s">
        <v>1162</v>
      </c>
      <c r="D59" s="36">
        <f t="shared" si="6"/>
        <v>25.2</v>
      </c>
      <c r="E59" s="36"/>
      <c r="F59" s="36"/>
      <c r="G59" s="37"/>
      <c r="H59" s="37">
        <f t="shared" si="7"/>
        <v>25.2</v>
      </c>
      <c r="I59" s="69" t="s">
        <v>29</v>
      </c>
      <c r="J59" s="69">
        <v>210</v>
      </c>
      <c r="K59" s="78">
        <v>1200</v>
      </c>
      <c r="L59" s="68"/>
    </row>
    <row r="60" s="12" customFormat="1" ht="21.75" customHeight="1" spans="2:12">
      <c r="B60" s="34"/>
      <c r="C60" s="52" t="s">
        <v>1163</v>
      </c>
      <c r="D60" s="36">
        <f t="shared" si="6"/>
        <v>200</v>
      </c>
      <c r="E60" s="36"/>
      <c r="F60" s="36"/>
      <c r="G60" s="37"/>
      <c r="H60" s="37">
        <f t="shared" si="7"/>
        <v>200</v>
      </c>
      <c r="I60" s="79" t="s">
        <v>863</v>
      </c>
      <c r="J60" s="69">
        <v>2</v>
      </c>
      <c r="K60" s="78">
        <v>1000000</v>
      </c>
      <c r="L60" s="68"/>
    </row>
    <row r="61" s="12" customFormat="1" ht="21.75" customHeight="1" spans="2:12">
      <c r="B61" s="41" t="s">
        <v>40</v>
      </c>
      <c r="C61" s="35" t="s">
        <v>879</v>
      </c>
      <c r="D61" s="39">
        <v>0</v>
      </c>
      <c r="E61" s="39"/>
      <c r="F61" s="39"/>
      <c r="G61" s="40"/>
      <c r="H61" s="40"/>
      <c r="I61" s="64"/>
      <c r="J61" s="64"/>
      <c r="K61" s="64"/>
      <c r="L61" s="68"/>
    </row>
    <row r="62" s="12" customFormat="1" ht="21.75" customHeight="1" spans="2:12">
      <c r="B62" s="41"/>
      <c r="C62" s="52" t="s">
        <v>880</v>
      </c>
      <c r="D62" s="36">
        <f>H62</f>
        <v>3000</v>
      </c>
      <c r="E62" s="36"/>
      <c r="F62" s="36"/>
      <c r="G62" s="37"/>
      <c r="H62" s="37">
        <f>J62*K62/10000</f>
        <v>3000</v>
      </c>
      <c r="I62" s="69" t="s">
        <v>29</v>
      </c>
      <c r="J62" s="80">
        <v>6000</v>
      </c>
      <c r="K62" s="69">
        <v>5000</v>
      </c>
      <c r="L62" s="68"/>
    </row>
    <row r="63" s="12" customFormat="1" ht="21.75" customHeight="1" spans="2:12">
      <c r="B63" s="41"/>
      <c r="C63" s="52" t="s">
        <v>881</v>
      </c>
      <c r="D63" s="36">
        <f>H63</f>
        <v>421.2</v>
      </c>
      <c r="E63" s="36"/>
      <c r="F63" s="36"/>
      <c r="G63" s="37"/>
      <c r="H63" s="37">
        <f>J63*K63/10000</f>
        <v>421.2</v>
      </c>
      <c r="I63" s="69" t="s">
        <v>760</v>
      </c>
      <c r="J63" s="69">
        <f>2340*18*2</f>
        <v>84240</v>
      </c>
      <c r="K63" s="69">
        <v>50</v>
      </c>
      <c r="L63" s="68"/>
    </row>
    <row r="64" s="12" customFormat="1" ht="21.75" customHeight="1" spans="2:12">
      <c r="B64" s="41"/>
      <c r="C64" s="58" t="s">
        <v>761</v>
      </c>
      <c r="D64" s="39">
        <v>63.8897</v>
      </c>
      <c r="E64" s="39"/>
      <c r="F64" s="39"/>
      <c r="G64" s="40"/>
      <c r="H64" s="40">
        <v>63.8897</v>
      </c>
      <c r="I64" s="81" t="s">
        <v>841</v>
      </c>
      <c r="J64" s="64">
        <v>5</v>
      </c>
      <c r="K64" s="64">
        <v>127779.4</v>
      </c>
      <c r="L64" s="68"/>
    </row>
    <row r="65" s="12" customFormat="1" ht="21.75" customHeight="1" spans="2:12">
      <c r="B65" s="82" t="s">
        <v>45</v>
      </c>
      <c r="C65" s="47" t="s">
        <v>885</v>
      </c>
      <c r="D65" s="83"/>
      <c r="E65" s="83"/>
      <c r="F65" s="83"/>
      <c r="G65" s="83"/>
      <c r="H65" s="48"/>
      <c r="I65" s="94"/>
      <c r="J65" s="94"/>
      <c r="K65" s="94"/>
      <c r="L65" s="68"/>
    </row>
    <row r="66" s="12" customFormat="1" ht="21.75" customHeight="1" spans="2:12">
      <c r="B66" s="46" t="s">
        <v>765</v>
      </c>
      <c r="C66" s="49" t="s">
        <v>1134</v>
      </c>
      <c r="D66" s="48">
        <f>H66</f>
        <v>160</v>
      </c>
      <c r="E66" s="48"/>
      <c r="F66" s="48"/>
      <c r="G66" s="48"/>
      <c r="H66" s="48">
        <f>J66*K66*0.0001</f>
        <v>160</v>
      </c>
      <c r="I66" s="75" t="s">
        <v>767</v>
      </c>
      <c r="J66" s="48">
        <v>20000</v>
      </c>
      <c r="K66" s="76">
        <v>80</v>
      </c>
      <c r="L66" s="68"/>
    </row>
    <row r="67" s="12" customFormat="1" ht="21.75" customHeight="1" spans="2:12">
      <c r="B67" s="46" t="s">
        <v>768</v>
      </c>
      <c r="C67" s="49" t="s">
        <v>886</v>
      </c>
      <c r="D67" s="48">
        <f>H67</f>
        <v>360</v>
      </c>
      <c r="E67" s="48"/>
      <c r="F67" s="48"/>
      <c r="G67" s="48"/>
      <c r="H67" s="48">
        <f>J67*K67*0.0001</f>
        <v>360</v>
      </c>
      <c r="I67" s="51" t="s">
        <v>760</v>
      </c>
      <c r="J67" s="77">
        <v>30000</v>
      </c>
      <c r="K67" s="76">
        <v>120</v>
      </c>
      <c r="L67" s="68"/>
    </row>
    <row r="68" s="12" customFormat="1" ht="21.75" customHeight="1" spans="2:12">
      <c r="B68" s="41" t="s">
        <v>47</v>
      </c>
      <c r="C68" s="35" t="s">
        <v>1164</v>
      </c>
      <c r="D68" s="39">
        <v>128</v>
      </c>
      <c r="E68" s="39"/>
      <c r="F68" s="39"/>
      <c r="G68" s="40"/>
      <c r="H68" s="40">
        <v>128</v>
      </c>
      <c r="I68" s="81" t="s">
        <v>841</v>
      </c>
      <c r="J68" s="64">
        <v>1</v>
      </c>
      <c r="K68" s="64"/>
      <c r="L68" s="68"/>
    </row>
    <row r="69" s="12" customFormat="1" ht="21.75" customHeight="1" spans="2:12">
      <c r="B69" s="41" t="s">
        <v>51</v>
      </c>
      <c r="C69" s="35" t="s">
        <v>1165</v>
      </c>
      <c r="D69" s="39">
        <v>160</v>
      </c>
      <c r="E69" s="39"/>
      <c r="F69" s="39"/>
      <c r="G69" s="40"/>
      <c r="H69" s="40">
        <v>160</v>
      </c>
      <c r="I69" s="81" t="s">
        <v>841</v>
      </c>
      <c r="J69" s="64">
        <v>1</v>
      </c>
      <c r="K69" s="64"/>
      <c r="L69" s="68"/>
    </row>
    <row r="70" s="12" customFormat="1" ht="21.75" customHeight="1" spans="2:12">
      <c r="B70" s="34" t="s">
        <v>53</v>
      </c>
      <c r="C70" s="82" t="s">
        <v>887</v>
      </c>
      <c r="D70" s="48">
        <v>0</v>
      </c>
      <c r="E70" s="48"/>
      <c r="F70" s="48"/>
      <c r="G70" s="48"/>
      <c r="H70" s="48"/>
      <c r="I70" s="74"/>
      <c r="J70" s="48"/>
      <c r="K70" s="76"/>
      <c r="L70" s="68"/>
    </row>
    <row r="71" s="12" customFormat="1" ht="21.75" customHeight="1" spans="2:12">
      <c r="B71" s="46" t="s">
        <v>844</v>
      </c>
      <c r="C71" s="50" t="s">
        <v>1135</v>
      </c>
      <c r="D71" s="48">
        <f>H71</f>
        <v>80</v>
      </c>
      <c r="E71" s="48"/>
      <c r="F71" s="48"/>
      <c r="G71" s="48"/>
      <c r="H71" s="48">
        <f>J71*K71/10000</f>
        <v>80</v>
      </c>
      <c r="I71" s="51" t="s">
        <v>760</v>
      </c>
      <c r="J71" s="77">
        <v>160</v>
      </c>
      <c r="K71" s="76">
        <v>5000</v>
      </c>
      <c r="L71" s="68"/>
    </row>
    <row r="72" s="12" customFormat="1" ht="21.75" customHeight="1" spans="2:12">
      <c r="B72" s="46" t="s">
        <v>845</v>
      </c>
      <c r="C72" s="50" t="s">
        <v>1136</v>
      </c>
      <c r="D72" s="48">
        <f t="shared" ref="D72:D82" si="8">H72</f>
        <v>72</v>
      </c>
      <c r="E72" s="48"/>
      <c r="F72" s="48"/>
      <c r="G72" s="48"/>
      <c r="H72" s="48">
        <f t="shared" ref="H72:H82" si="9">J72*K72/10000</f>
        <v>72</v>
      </c>
      <c r="I72" s="75" t="s">
        <v>767</v>
      </c>
      <c r="J72" s="77">
        <v>4000</v>
      </c>
      <c r="K72" s="76">
        <v>180</v>
      </c>
      <c r="L72" s="68"/>
    </row>
    <row r="73" s="12" customFormat="1" ht="21.75" customHeight="1" spans="2:12">
      <c r="B73" s="46" t="s">
        <v>846</v>
      </c>
      <c r="C73" s="50" t="s">
        <v>1137</v>
      </c>
      <c r="D73" s="48">
        <f t="shared" si="8"/>
        <v>35.6</v>
      </c>
      <c r="E73" s="48"/>
      <c r="F73" s="48"/>
      <c r="G73" s="48"/>
      <c r="H73" s="48">
        <f t="shared" si="9"/>
        <v>35.6</v>
      </c>
      <c r="I73" s="75" t="s">
        <v>767</v>
      </c>
      <c r="J73" s="77">
        <v>4000</v>
      </c>
      <c r="K73" s="76">
        <v>89</v>
      </c>
      <c r="L73" s="68"/>
    </row>
    <row r="74" s="12" customFormat="1" ht="21.75" customHeight="1" spans="2:12">
      <c r="B74" s="46" t="s">
        <v>847</v>
      </c>
      <c r="C74" s="50" t="s">
        <v>1138</v>
      </c>
      <c r="D74" s="48">
        <f t="shared" si="8"/>
        <v>64</v>
      </c>
      <c r="E74" s="48"/>
      <c r="F74" s="48"/>
      <c r="G74" s="48"/>
      <c r="H74" s="48">
        <f t="shared" si="9"/>
        <v>64</v>
      </c>
      <c r="I74" s="51" t="s">
        <v>1139</v>
      </c>
      <c r="J74" s="77">
        <v>80</v>
      </c>
      <c r="K74" s="76">
        <v>8000</v>
      </c>
      <c r="L74" s="68"/>
    </row>
    <row r="75" s="12" customFormat="1" ht="21.75" customHeight="1" spans="2:12">
      <c r="B75" s="46" t="s">
        <v>848</v>
      </c>
      <c r="C75" s="50" t="s">
        <v>1140</v>
      </c>
      <c r="D75" s="48">
        <f t="shared" si="8"/>
        <v>2640</v>
      </c>
      <c r="E75" s="48"/>
      <c r="F75" s="48"/>
      <c r="G75" s="48"/>
      <c r="H75" s="48">
        <f t="shared" si="9"/>
        <v>2640</v>
      </c>
      <c r="I75" s="75" t="s">
        <v>767</v>
      </c>
      <c r="J75" s="77">
        <v>80000</v>
      </c>
      <c r="K75" s="76">
        <v>330</v>
      </c>
      <c r="L75" s="68"/>
    </row>
    <row r="76" s="12" customFormat="1" ht="21.75" customHeight="1" spans="2:12">
      <c r="B76" s="46" t="s">
        <v>850</v>
      </c>
      <c r="C76" s="50" t="s">
        <v>890</v>
      </c>
      <c r="D76" s="48">
        <f t="shared" si="8"/>
        <v>0</v>
      </c>
      <c r="E76" s="48"/>
      <c r="F76" s="48"/>
      <c r="G76" s="48"/>
      <c r="H76" s="48">
        <f t="shared" si="9"/>
        <v>0</v>
      </c>
      <c r="I76" s="75"/>
      <c r="J76" s="74"/>
      <c r="K76" s="76"/>
      <c r="L76" s="68"/>
    </row>
    <row r="77" s="12" customFormat="1" ht="21.75" customHeight="1" spans="2:12">
      <c r="B77" s="46" t="s">
        <v>851</v>
      </c>
      <c r="C77" s="50" t="s">
        <v>1141</v>
      </c>
      <c r="D77" s="48">
        <f t="shared" si="8"/>
        <v>213.6</v>
      </c>
      <c r="E77" s="48"/>
      <c r="F77" s="48"/>
      <c r="G77" s="48"/>
      <c r="H77" s="48">
        <f t="shared" si="9"/>
        <v>213.6</v>
      </c>
      <c r="I77" s="75" t="s">
        <v>767</v>
      </c>
      <c r="J77" s="77">
        <v>12000</v>
      </c>
      <c r="K77" s="76">
        <v>178</v>
      </c>
      <c r="L77" s="68"/>
    </row>
    <row r="78" s="12" customFormat="1" ht="21.75" customHeight="1" spans="2:12">
      <c r="B78" s="46" t="s">
        <v>852</v>
      </c>
      <c r="C78" s="50" t="s">
        <v>1142</v>
      </c>
      <c r="D78" s="48">
        <f t="shared" si="8"/>
        <v>192</v>
      </c>
      <c r="E78" s="48"/>
      <c r="F78" s="48"/>
      <c r="G78" s="48"/>
      <c r="H78" s="48">
        <f t="shared" si="9"/>
        <v>192</v>
      </c>
      <c r="I78" s="75" t="s">
        <v>767</v>
      </c>
      <c r="J78" s="77">
        <v>16000</v>
      </c>
      <c r="K78" s="76">
        <v>120</v>
      </c>
      <c r="L78" s="68"/>
    </row>
    <row r="79" s="12" customFormat="1" ht="21.75" customHeight="1" spans="2:12">
      <c r="B79" s="46" t="s">
        <v>853</v>
      </c>
      <c r="C79" s="50" t="s">
        <v>1143</v>
      </c>
      <c r="D79" s="48">
        <f t="shared" si="8"/>
        <v>78</v>
      </c>
      <c r="E79" s="48"/>
      <c r="F79" s="48"/>
      <c r="G79" s="48"/>
      <c r="H79" s="48">
        <f t="shared" si="9"/>
        <v>78</v>
      </c>
      <c r="I79" s="75" t="s">
        <v>767</v>
      </c>
      <c r="J79" s="77">
        <v>12000</v>
      </c>
      <c r="K79" s="76">
        <v>65</v>
      </c>
      <c r="L79" s="68"/>
    </row>
    <row r="80" s="12" customFormat="1" ht="21.75" customHeight="1" spans="2:12">
      <c r="B80" s="46" t="s">
        <v>854</v>
      </c>
      <c r="C80" s="50" t="s">
        <v>1144</v>
      </c>
      <c r="D80" s="48">
        <f t="shared" si="8"/>
        <v>87.5</v>
      </c>
      <c r="E80" s="48"/>
      <c r="F80" s="48"/>
      <c r="G80" s="48"/>
      <c r="H80" s="48">
        <f t="shared" si="9"/>
        <v>87.5</v>
      </c>
      <c r="I80" s="51" t="s">
        <v>760</v>
      </c>
      <c r="J80" s="77">
        <f>70000*0.5</f>
        <v>35000</v>
      </c>
      <c r="K80" s="76">
        <v>25</v>
      </c>
      <c r="L80" s="68"/>
    </row>
    <row r="81" s="12" customFormat="1" ht="21.75" customHeight="1" spans="2:12">
      <c r="B81" s="46" t="s">
        <v>855</v>
      </c>
      <c r="C81" s="51" t="s">
        <v>1145</v>
      </c>
      <c r="D81" s="48">
        <f t="shared" si="8"/>
        <v>70</v>
      </c>
      <c r="E81" s="48"/>
      <c r="F81" s="48"/>
      <c r="G81" s="48"/>
      <c r="H81" s="48">
        <f t="shared" si="9"/>
        <v>70</v>
      </c>
      <c r="I81" s="51" t="s">
        <v>760</v>
      </c>
      <c r="J81" s="77">
        <f>70000*0.5</f>
        <v>35000</v>
      </c>
      <c r="K81" s="76">
        <v>20</v>
      </c>
      <c r="L81" s="68"/>
    </row>
    <row r="82" s="12" customFormat="1" ht="21.75" customHeight="1" spans="2:12">
      <c r="B82" s="46" t="s">
        <v>856</v>
      </c>
      <c r="C82" s="50" t="s">
        <v>1166</v>
      </c>
      <c r="D82" s="48">
        <f t="shared" si="8"/>
        <v>35</v>
      </c>
      <c r="E82" s="48"/>
      <c r="F82" s="48"/>
      <c r="G82" s="48"/>
      <c r="H82" s="48">
        <f t="shared" si="9"/>
        <v>35</v>
      </c>
      <c r="I82" s="75" t="s">
        <v>767</v>
      </c>
      <c r="J82" s="77">
        <v>70000</v>
      </c>
      <c r="K82" s="76">
        <v>5</v>
      </c>
      <c r="L82" s="68"/>
    </row>
    <row r="83" s="12" customFormat="1" ht="21.75" customHeight="1" spans="2:12">
      <c r="B83" s="41" t="s">
        <v>55</v>
      </c>
      <c r="C83" s="35" t="s">
        <v>894</v>
      </c>
      <c r="D83" s="39">
        <v>0</v>
      </c>
      <c r="E83" s="39"/>
      <c r="F83" s="39"/>
      <c r="G83" s="40"/>
      <c r="H83" s="40"/>
      <c r="I83" s="64"/>
      <c r="J83" s="64"/>
      <c r="K83" s="64"/>
      <c r="L83" s="68"/>
    </row>
    <row r="84" s="12" customFormat="1" ht="21.75" customHeight="1" spans="2:12">
      <c r="B84" s="41"/>
      <c r="C84" s="52" t="s">
        <v>1146</v>
      </c>
      <c r="D84" s="36">
        <f>H84</f>
        <v>459.36</v>
      </c>
      <c r="E84" s="36"/>
      <c r="F84" s="36"/>
      <c r="G84" s="37"/>
      <c r="H84" s="37">
        <f>J84*K84/10000</f>
        <v>459.36</v>
      </c>
      <c r="I84" s="69" t="s">
        <v>767</v>
      </c>
      <c r="J84" s="69">
        <f>22000*0.6</f>
        <v>13200</v>
      </c>
      <c r="K84" s="78">
        <v>348</v>
      </c>
      <c r="L84" s="68"/>
    </row>
    <row r="85" s="12" customFormat="1" ht="21.75" customHeight="1" spans="2:12">
      <c r="B85" s="41"/>
      <c r="C85" s="52" t="s">
        <v>1147</v>
      </c>
      <c r="D85" s="36">
        <f t="shared" ref="D85:D94" si="10">H85</f>
        <v>250</v>
      </c>
      <c r="E85" s="36"/>
      <c r="F85" s="36"/>
      <c r="G85" s="37"/>
      <c r="H85" s="37">
        <f t="shared" ref="H85:H92" si="11">J85*K85/10000</f>
        <v>250</v>
      </c>
      <c r="I85" s="69" t="s">
        <v>767</v>
      </c>
      <c r="J85" s="69">
        <v>1000</v>
      </c>
      <c r="K85" s="78">
        <v>2500</v>
      </c>
      <c r="L85" s="68"/>
    </row>
    <row r="86" s="12" customFormat="1" ht="21.75" customHeight="1" spans="2:12">
      <c r="B86" s="41"/>
      <c r="C86" s="53" t="s">
        <v>1148</v>
      </c>
      <c r="D86" s="36">
        <f t="shared" si="10"/>
        <v>912</v>
      </c>
      <c r="E86" s="36"/>
      <c r="F86" s="36"/>
      <c r="G86" s="37"/>
      <c r="H86" s="37">
        <f t="shared" si="11"/>
        <v>912</v>
      </c>
      <c r="I86" s="69" t="s">
        <v>767</v>
      </c>
      <c r="J86" s="69">
        <f>40000*0.8</f>
        <v>32000</v>
      </c>
      <c r="K86" s="78">
        <v>285</v>
      </c>
      <c r="L86" s="68"/>
    </row>
    <row r="87" s="12" customFormat="1" ht="21.75" customHeight="1" spans="2:12">
      <c r="B87" s="41"/>
      <c r="C87" s="52" t="s">
        <v>1167</v>
      </c>
      <c r="D87" s="36">
        <f t="shared" si="10"/>
        <v>65</v>
      </c>
      <c r="E87" s="36"/>
      <c r="F87" s="36"/>
      <c r="G87" s="37"/>
      <c r="H87" s="37">
        <f t="shared" si="11"/>
        <v>65</v>
      </c>
      <c r="I87" s="79" t="s">
        <v>863</v>
      </c>
      <c r="J87" s="69">
        <v>1</v>
      </c>
      <c r="K87" s="78">
        <v>650000</v>
      </c>
      <c r="L87" s="68"/>
    </row>
    <row r="88" s="12" customFormat="1" ht="21.75" customHeight="1" spans="2:12">
      <c r="B88" s="41"/>
      <c r="C88" s="52" t="s">
        <v>1149</v>
      </c>
      <c r="D88" s="36">
        <f t="shared" si="10"/>
        <v>36</v>
      </c>
      <c r="E88" s="36"/>
      <c r="F88" s="36"/>
      <c r="G88" s="37"/>
      <c r="H88" s="37">
        <f t="shared" si="11"/>
        <v>36</v>
      </c>
      <c r="I88" s="79" t="s">
        <v>26</v>
      </c>
      <c r="J88" s="69">
        <v>120</v>
      </c>
      <c r="K88" s="78">
        <v>3000</v>
      </c>
      <c r="L88" s="68"/>
    </row>
    <row r="89" s="12" customFormat="1" ht="21.75" customHeight="1" spans="2:12">
      <c r="B89" s="41"/>
      <c r="C89" s="52" t="s">
        <v>1150</v>
      </c>
      <c r="D89" s="36">
        <f t="shared" si="10"/>
        <v>15</v>
      </c>
      <c r="E89" s="36"/>
      <c r="F89" s="36"/>
      <c r="G89" s="37"/>
      <c r="H89" s="37">
        <f t="shared" si="11"/>
        <v>15</v>
      </c>
      <c r="I89" s="79" t="s">
        <v>26</v>
      </c>
      <c r="J89" s="69">
        <v>100</v>
      </c>
      <c r="K89" s="78">
        <v>1500</v>
      </c>
      <c r="L89" s="68"/>
    </row>
    <row r="90" s="12" customFormat="1" ht="21.75" customHeight="1" spans="2:12">
      <c r="B90" s="41"/>
      <c r="C90" s="52" t="s">
        <v>1151</v>
      </c>
      <c r="D90" s="36">
        <f t="shared" si="10"/>
        <v>11.25</v>
      </c>
      <c r="E90" s="36"/>
      <c r="F90" s="36"/>
      <c r="G90" s="37"/>
      <c r="H90" s="37">
        <f t="shared" si="11"/>
        <v>11.25</v>
      </c>
      <c r="I90" s="79" t="s">
        <v>26</v>
      </c>
      <c r="J90" s="69">
        <v>45</v>
      </c>
      <c r="K90" s="78">
        <v>2500</v>
      </c>
      <c r="L90" s="68"/>
    </row>
    <row r="91" s="12" customFormat="1" ht="21.75" customHeight="1" spans="2:12">
      <c r="B91" s="41"/>
      <c r="C91" s="52" t="s">
        <v>1168</v>
      </c>
      <c r="D91" s="36">
        <f t="shared" si="10"/>
        <v>150</v>
      </c>
      <c r="E91" s="36"/>
      <c r="F91" s="36"/>
      <c r="G91" s="37"/>
      <c r="H91" s="37">
        <f t="shared" si="11"/>
        <v>150</v>
      </c>
      <c r="I91" s="79" t="s">
        <v>29</v>
      </c>
      <c r="J91" s="69">
        <v>1000</v>
      </c>
      <c r="K91" s="78">
        <v>1500</v>
      </c>
      <c r="L91" s="68"/>
    </row>
    <row r="92" s="12" customFormat="1" ht="21.75" customHeight="1" spans="2:12">
      <c r="B92" s="41"/>
      <c r="C92" s="52" t="s">
        <v>1153</v>
      </c>
      <c r="D92" s="36">
        <f t="shared" si="10"/>
        <v>66</v>
      </c>
      <c r="E92" s="36"/>
      <c r="F92" s="36"/>
      <c r="G92" s="37"/>
      <c r="H92" s="37">
        <f t="shared" si="11"/>
        <v>66</v>
      </c>
      <c r="I92" s="79" t="s">
        <v>863</v>
      </c>
      <c r="J92" s="69">
        <v>6</v>
      </c>
      <c r="K92" s="78">
        <v>110000</v>
      </c>
      <c r="L92" s="68"/>
    </row>
    <row r="93" s="12" customFormat="1" ht="21.75" customHeight="1" spans="2:12">
      <c r="B93" s="41"/>
      <c r="C93" s="52" t="s">
        <v>1154</v>
      </c>
      <c r="D93" s="36">
        <f t="shared" si="10"/>
        <v>240</v>
      </c>
      <c r="E93" s="36"/>
      <c r="F93" s="36"/>
      <c r="G93" s="37"/>
      <c r="H93" s="37">
        <v>240</v>
      </c>
      <c r="I93" s="79" t="s">
        <v>841</v>
      </c>
      <c r="J93" s="69">
        <v>1</v>
      </c>
      <c r="K93" s="78"/>
      <c r="L93" s="68"/>
    </row>
    <row r="94" s="12" customFormat="1" ht="21.75" customHeight="1" spans="2:12">
      <c r="B94" s="41"/>
      <c r="C94" s="52" t="s">
        <v>1155</v>
      </c>
      <c r="D94" s="36">
        <f t="shared" si="10"/>
        <v>200</v>
      </c>
      <c r="E94" s="36"/>
      <c r="F94" s="36"/>
      <c r="G94" s="37"/>
      <c r="H94" s="37">
        <v>200</v>
      </c>
      <c r="I94" s="79" t="s">
        <v>841</v>
      </c>
      <c r="J94" s="69">
        <v>1</v>
      </c>
      <c r="K94" s="78"/>
      <c r="L94" s="68"/>
    </row>
    <row r="95" s="12" customFormat="1" ht="21.75" customHeight="1" spans="2:12">
      <c r="B95" s="41" t="s">
        <v>59</v>
      </c>
      <c r="C95" s="35" t="s">
        <v>903</v>
      </c>
      <c r="D95" s="39">
        <v>0</v>
      </c>
      <c r="E95" s="39"/>
      <c r="F95" s="39"/>
      <c r="G95" s="40"/>
      <c r="H95" s="40">
        <v>0</v>
      </c>
      <c r="I95" s="64"/>
      <c r="J95" s="64"/>
      <c r="K95" s="64"/>
      <c r="L95" s="68"/>
    </row>
    <row r="96" s="12" customFormat="1" ht="21.75" customHeight="1" spans="2:12">
      <c r="B96" s="41"/>
      <c r="C96" s="84" t="s">
        <v>904</v>
      </c>
      <c r="D96" s="39">
        <v>160</v>
      </c>
      <c r="E96" s="39"/>
      <c r="F96" s="39"/>
      <c r="G96" s="40"/>
      <c r="H96" s="40">
        <v>160</v>
      </c>
      <c r="I96" s="81" t="s">
        <v>863</v>
      </c>
      <c r="J96" s="64">
        <v>2</v>
      </c>
      <c r="K96" s="64">
        <v>800000</v>
      </c>
      <c r="L96" s="68"/>
    </row>
    <row r="97" s="12" customFormat="1" ht="21.75" customHeight="1" spans="2:12">
      <c r="B97" s="41"/>
      <c r="C97" s="84" t="s">
        <v>905</v>
      </c>
      <c r="D97" s="39">
        <v>30</v>
      </c>
      <c r="E97" s="39"/>
      <c r="F97" s="39"/>
      <c r="G97" s="40"/>
      <c r="H97" s="40">
        <v>30</v>
      </c>
      <c r="I97" s="81" t="s">
        <v>863</v>
      </c>
      <c r="J97" s="64">
        <v>2</v>
      </c>
      <c r="K97" s="64">
        <v>150000</v>
      </c>
      <c r="L97" s="68"/>
    </row>
    <row r="98" s="12" customFormat="1" ht="21.75" customHeight="1" spans="2:12">
      <c r="B98" s="41"/>
      <c r="C98" s="84" t="s">
        <v>907</v>
      </c>
      <c r="D98" s="39">
        <v>10</v>
      </c>
      <c r="E98" s="39"/>
      <c r="F98" s="39"/>
      <c r="G98" s="40"/>
      <c r="H98" s="40">
        <v>10</v>
      </c>
      <c r="I98" s="81" t="s">
        <v>863</v>
      </c>
      <c r="J98" s="64">
        <v>4</v>
      </c>
      <c r="K98" s="64">
        <v>25000</v>
      </c>
      <c r="L98" s="68"/>
    </row>
    <row r="99" s="12" customFormat="1" ht="21.75" customHeight="1" spans="2:12">
      <c r="B99" s="41"/>
      <c r="C99" s="84" t="s">
        <v>908</v>
      </c>
      <c r="D99" s="39">
        <v>295</v>
      </c>
      <c r="E99" s="39"/>
      <c r="F99" s="39"/>
      <c r="G99" s="40"/>
      <c r="H99" s="40">
        <v>295</v>
      </c>
      <c r="I99" s="64" t="s">
        <v>820</v>
      </c>
      <c r="J99" s="64">
        <v>11.8</v>
      </c>
      <c r="K99" s="64">
        <v>250000</v>
      </c>
      <c r="L99" s="68"/>
    </row>
    <row r="100" s="12" customFormat="1" ht="21.75" customHeight="1" spans="2:12">
      <c r="B100" s="41"/>
      <c r="C100" s="84" t="s">
        <v>909</v>
      </c>
      <c r="D100" s="39">
        <v>36</v>
      </c>
      <c r="E100" s="39"/>
      <c r="F100" s="39"/>
      <c r="G100" s="40"/>
      <c r="H100" s="40">
        <v>36</v>
      </c>
      <c r="I100" s="64" t="s">
        <v>820</v>
      </c>
      <c r="J100" s="64">
        <v>2</v>
      </c>
      <c r="K100" s="64">
        <v>180000</v>
      </c>
      <c r="L100" s="68"/>
    </row>
    <row r="101" s="12" customFormat="1" ht="21.75" customHeight="1" spans="2:12">
      <c r="B101" s="41"/>
      <c r="C101" s="84" t="s">
        <v>910</v>
      </c>
      <c r="D101" s="39">
        <v>12</v>
      </c>
      <c r="E101" s="39"/>
      <c r="F101" s="39"/>
      <c r="G101" s="40"/>
      <c r="H101" s="40">
        <v>12</v>
      </c>
      <c r="I101" s="64" t="s">
        <v>820</v>
      </c>
      <c r="J101" s="64">
        <v>2</v>
      </c>
      <c r="K101" s="64">
        <v>60000</v>
      </c>
      <c r="L101" s="68"/>
    </row>
    <row r="102" s="12" customFormat="1" ht="21.75" customHeight="1" spans="2:12">
      <c r="B102" s="41"/>
      <c r="C102" s="84" t="s">
        <v>911</v>
      </c>
      <c r="D102" s="39">
        <v>73.2</v>
      </c>
      <c r="E102" s="39"/>
      <c r="F102" s="39"/>
      <c r="G102" s="40"/>
      <c r="H102" s="40">
        <v>73.2</v>
      </c>
      <c r="I102" s="81" t="s">
        <v>26</v>
      </c>
      <c r="J102" s="64">
        <v>244</v>
      </c>
      <c r="K102" s="64">
        <v>3000</v>
      </c>
      <c r="L102" s="68"/>
    </row>
    <row r="103" s="12" customFormat="1" ht="21.75" customHeight="1" spans="2:12">
      <c r="B103" s="41"/>
      <c r="C103" s="84" t="s">
        <v>912</v>
      </c>
      <c r="D103" s="39">
        <v>0.2</v>
      </c>
      <c r="E103" s="39"/>
      <c r="F103" s="39"/>
      <c r="G103" s="40"/>
      <c r="H103" s="40">
        <v>0.2</v>
      </c>
      <c r="I103" s="81" t="s">
        <v>314</v>
      </c>
      <c r="J103" s="64">
        <v>1</v>
      </c>
      <c r="K103" s="64">
        <v>2000</v>
      </c>
      <c r="L103" s="68"/>
    </row>
    <row r="104" s="12" customFormat="1" ht="21.75" customHeight="1" spans="2:12">
      <c r="B104" s="41"/>
      <c r="C104" s="84" t="s">
        <v>913</v>
      </c>
      <c r="D104" s="39">
        <v>160</v>
      </c>
      <c r="E104" s="39"/>
      <c r="F104" s="39"/>
      <c r="G104" s="40"/>
      <c r="H104" s="40">
        <v>160</v>
      </c>
      <c r="I104" s="81" t="s">
        <v>314</v>
      </c>
      <c r="J104" s="64">
        <v>8</v>
      </c>
      <c r="K104" s="64">
        <v>200000</v>
      </c>
      <c r="L104" s="68"/>
    </row>
    <row r="105" s="12" customFormat="1" ht="21.75" customHeight="1" spans="2:12">
      <c r="B105" s="41"/>
      <c r="C105" s="84" t="s">
        <v>914</v>
      </c>
      <c r="D105" s="39">
        <v>35.4</v>
      </c>
      <c r="E105" s="39"/>
      <c r="F105" s="39"/>
      <c r="G105" s="40"/>
      <c r="H105" s="40">
        <v>35.4</v>
      </c>
      <c r="I105" s="64" t="s">
        <v>820</v>
      </c>
      <c r="J105" s="64">
        <v>11.8</v>
      </c>
      <c r="K105" s="64">
        <v>30000</v>
      </c>
      <c r="L105" s="68"/>
    </row>
    <row r="106" s="12" customFormat="1" ht="21.75" customHeight="1" spans="2:12">
      <c r="B106" s="41"/>
      <c r="C106" s="84" t="s">
        <v>915</v>
      </c>
      <c r="D106" s="39">
        <v>70.8</v>
      </c>
      <c r="E106" s="39"/>
      <c r="F106" s="39"/>
      <c r="G106" s="40"/>
      <c r="H106" s="40">
        <v>70.8</v>
      </c>
      <c r="I106" s="81" t="s">
        <v>26</v>
      </c>
      <c r="J106" s="64">
        <v>236</v>
      </c>
      <c r="K106" s="64">
        <v>3000</v>
      </c>
      <c r="L106" s="68"/>
    </row>
    <row r="107" s="12" customFormat="1" ht="21.75" customHeight="1" spans="2:12">
      <c r="B107" s="41" t="s">
        <v>61</v>
      </c>
      <c r="C107" s="35" t="s">
        <v>918</v>
      </c>
      <c r="D107" s="39"/>
      <c r="E107" s="39"/>
      <c r="F107" s="39"/>
      <c r="G107" s="40"/>
      <c r="H107" s="40"/>
      <c r="I107" s="81"/>
      <c r="J107" s="64"/>
      <c r="K107" s="64"/>
      <c r="L107" s="68"/>
    </row>
    <row r="108" s="12" customFormat="1" ht="21.75" customHeight="1" spans="2:13">
      <c r="B108" s="41"/>
      <c r="C108" s="84" t="s">
        <v>1169</v>
      </c>
      <c r="D108" s="39">
        <v>4</v>
      </c>
      <c r="E108" s="39">
        <v>18</v>
      </c>
      <c r="F108" s="39">
        <v>7.2</v>
      </c>
      <c r="G108" s="40"/>
      <c r="H108" s="40">
        <v>29.2</v>
      </c>
      <c r="I108" s="81" t="s">
        <v>863</v>
      </c>
      <c r="J108" s="64">
        <v>1</v>
      </c>
      <c r="K108" s="64"/>
      <c r="L108" s="68"/>
      <c r="M108" s="95"/>
    </row>
    <row r="109" s="13" customFormat="1" ht="21.75" customHeight="1" spans="2:12">
      <c r="B109" s="85" t="s">
        <v>875</v>
      </c>
      <c r="C109" s="86" t="s">
        <v>1132</v>
      </c>
      <c r="D109" s="87"/>
      <c r="E109" s="87"/>
      <c r="F109" s="87"/>
      <c r="G109" s="87"/>
      <c r="H109" s="87"/>
      <c r="I109" s="96"/>
      <c r="J109" s="97"/>
      <c r="K109" s="96"/>
      <c r="L109" s="98"/>
    </row>
    <row r="110" s="13" customFormat="1" ht="21.75" customHeight="1" spans="2:12">
      <c r="B110" s="88" t="s">
        <v>18</v>
      </c>
      <c r="C110" s="89" t="s">
        <v>1170</v>
      </c>
      <c r="D110" s="90"/>
      <c r="E110" s="90"/>
      <c r="F110" s="90"/>
      <c r="G110" s="91"/>
      <c r="H110" s="91"/>
      <c r="I110" s="99"/>
      <c r="J110" s="90"/>
      <c r="K110" s="100"/>
      <c r="L110" s="98"/>
    </row>
    <row r="111" s="13" customFormat="1" ht="21.75" customHeight="1" spans="2:12">
      <c r="B111" s="88"/>
      <c r="C111" s="92" t="s">
        <v>1133</v>
      </c>
      <c r="D111" s="90">
        <f>J111*K111/10000</f>
        <v>96.5594</v>
      </c>
      <c r="E111" s="90"/>
      <c r="F111" s="90"/>
      <c r="G111" s="91"/>
      <c r="H111" s="91">
        <f>SUM(D111:G111)</f>
        <v>96.5594</v>
      </c>
      <c r="I111" s="99" t="s">
        <v>29</v>
      </c>
      <c r="J111" s="99">
        <v>1169</v>
      </c>
      <c r="K111" s="99">
        <v>826</v>
      </c>
      <c r="L111" s="98"/>
    </row>
    <row r="112" s="13" customFormat="1" ht="21.75" customHeight="1" spans="2:12">
      <c r="B112" s="88" t="s">
        <v>40</v>
      </c>
      <c r="C112" s="89" t="s">
        <v>837</v>
      </c>
      <c r="D112" s="90"/>
      <c r="E112" s="90"/>
      <c r="F112" s="90"/>
      <c r="G112" s="91"/>
      <c r="H112" s="91">
        <v>0</v>
      </c>
      <c r="I112" s="99"/>
      <c r="J112" s="99"/>
      <c r="K112" s="99"/>
      <c r="L112" s="98"/>
    </row>
    <row r="113" s="13" customFormat="1" ht="21.75" customHeight="1" spans="2:12">
      <c r="B113" s="88"/>
      <c r="C113" s="93" t="s">
        <v>1171</v>
      </c>
      <c r="D113" s="90">
        <f>J113*K113/10000</f>
        <v>787.5</v>
      </c>
      <c r="E113" s="90"/>
      <c r="F113" s="90"/>
      <c r="G113" s="91"/>
      <c r="H113" s="91">
        <f>SUM(D113:G113)</f>
        <v>787.5</v>
      </c>
      <c r="I113" s="99" t="s">
        <v>760</v>
      </c>
      <c r="J113" s="99">
        <v>262500</v>
      </c>
      <c r="K113" s="99">
        <v>30</v>
      </c>
      <c r="L113" s="101"/>
    </row>
    <row r="114" s="13" customFormat="1" ht="21.75" customHeight="1" spans="2:12">
      <c r="B114" s="88"/>
      <c r="C114" s="93" t="s">
        <v>1172</v>
      </c>
      <c r="D114" s="90">
        <f>J114*K114/10000</f>
        <v>3412.5</v>
      </c>
      <c r="E114" s="90"/>
      <c r="F114" s="90"/>
      <c r="G114" s="91"/>
      <c r="H114" s="91">
        <f>SUM(D114:G114)</f>
        <v>3412.5</v>
      </c>
      <c r="I114" s="99" t="s">
        <v>760</v>
      </c>
      <c r="J114" s="99">
        <v>262500</v>
      </c>
      <c r="K114" s="99">
        <v>130</v>
      </c>
      <c r="L114" s="98"/>
    </row>
    <row r="115" s="13" customFormat="1" ht="21.75" customHeight="1" spans="2:12">
      <c r="B115" s="88" t="s">
        <v>45</v>
      </c>
      <c r="C115" s="89" t="s">
        <v>1173</v>
      </c>
      <c r="D115" s="90">
        <f t="shared" ref="D115:D122" si="12">J115*K115/10000</f>
        <v>0</v>
      </c>
      <c r="E115" s="90"/>
      <c r="F115" s="90"/>
      <c r="G115" s="91"/>
      <c r="H115" s="91">
        <f t="shared" ref="H115:H122" si="13">SUM(D115:G115)</f>
        <v>0</v>
      </c>
      <c r="I115" s="99"/>
      <c r="J115" s="99"/>
      <c r="K115" s="99"/>
      <c r="L115" s="98"/>
    </row>
    <row r="116" s="13" customFormat="1" ht="21.75" customHeight="1" spans="2:12">
      <c r="B116" s="88"/>
      <c r="C116" s="93" t="s">
        <v>1174</v>
      </c>
      <c r="D116" s="90">
        <f t="shared" si="12"/>
        <v>2250</v>
      </c>
      <c r="E116" s="90"/>
      <c r="F116" s="90"/>
      <c r="G116" s="91"/>
      <c r="H116" s="91">
        <f t="shared" si="13"/>
        <v>2250</v>
      </c>
      <c r="I116" s="99" t="s">
        <v>760</v>
      </c>
      <c r="J116" s="99">
        <v>112500</v>
      </c>
      <c r="K116" s="99">
        <v>200</v>
      </c>
      <c r="L116" s="98"/>
    </row>
    <row r="117" s="13" customFormat="1" ht="21.75" customHeight="1" spans="2:12">
      <c r="B117" s="88" t="s">
        <v>47</v>
      </c>
      <c r="C117" s="89" t="s">
        <v>840</v>
      </c>
      <c r="D117" s="90">
        <v>360</v>
      </c>
      <c r="E117" s="90"/>
      <c r="F117" s="90"/>
      <c r="G117" s="91"/>
      <c r="H117" s="91">
        <f t="shared" si="13"/>
        <v>360</v>
      </c>
      <c r="I117" s="99" t="s">
        <v>841</v>
      </c>
      <c r="J117" s="99">
        <v>1</v>
      </c>
      <c r="K117" s="99"/>
      <c r="L117" s="98"/>
    </row>
    <row r="118" s="13" customFormat="1" ht="21.75" customHeight="1" spans="2:12">
      <c r="B118" s="88" t="s">
        <v>51</v>
      </c>
      <c r="C118" s="89" t="s">
        <v>842</v>
      </c>
      <c r="D118" s="90">
        <v>450</v>
      </c>
      <c r="E118" s="90"/>
      <c r="F118" s="90"/>
      <c r="G118" s="91"/>
      <c r="H118" s="91">
        <f t="shared" si="13"/>
        <v>450</v>
      </c>
      <c r="I118" s="99" t="s">
        <v>841</v>
      </c>
      <c r="J118" s="99">
        <v>1</v>
      </c>
      <c r="K118" s="99"/>
      <c r="L118" s="98"/>
    </row>
    <row r="119" s="13" customFormat="1" ht="21.75" customHeight="1" spans="2:12">
      <c r="B119" s="88" t="s">
        <v>53</v>
      </c>
      <c r="C119" s="89" t="s">
        <v>1175</v>
      </c>
      <c r="D119" s="90">
        <f t="shared" si="12"/>
        <v>0</v>
      </c>
      <c r="E119" s="90"/>
      <c r="F119" s="90"/>
      <c r="G119" s="91"/>
      <c r="H119" s="91">
        <f t="shared" si="13"/>
        <v>0</v>
      </c>
      <c r="I119" s="99"/>
      <c r="J119" s="99"/>
      <c r="K119" s="99"/>
      <c r="L119" s="98"/>
    </row>
    <row r="120" s="13" customFormat="1" ht="21.75" customHeight="1" spans="2:12">
      <c r="B120" s="88"/>
      <c r="C120" s="93" t="s">
        <v>1176</v>
      </c>
      <c r="D120" s="90">
        <f t="shared" si="12"/>
        <v>3465</v>
      </c>
      <c r="E120" s="90"/>
      <c r="F120" s="90"/>
      <c r="G120" s="91"/>
      <c r="H120" s="91">
        <f t="shared" si="13"/>
        <v>3465</v>
      </c>
      <c r="I120" s="99" t="s">
        <v>1177</v>
      </c>
      <c r="J120" s="99">
        <v>105000</v>
      </c>
      <c r="K120" s="99">
        <v>330</v>
      </c>
      <c r="L120" s="98"/>
    </row>
    <row r="121" s="13" customFormat="1" ht="21.75" customHeight="1" spans="2:12">
      <c r="B121" s="88"/>
      <c r="C121" s="93" t="s">
        <v>1178</v>
      </c>
      <c r="D121" s="90">
        <f t="shared" si="12"/>
        <v>735</v>
      </c>
      <c r="E121" s="90"/>
      <c r="F121" s="90"/>
      <c r="G121" s="91"/>
      <c r="H121" s="91">
        <f t="shared" si="13"/>
        <v>735</v>
      </c>
      <c r="I121" s="99" t="s">
        <v>1177</v>
      </c>
      <c r="J121" s="99">
        <v>105000</v>
      </c>
      <c r="K121" s="99">
        <v>70</v>
      </c>
      <c r="L121" s="98"/>
    </row>
    <row r="122" s="13" customFormat="1" ht="21.75" customHeight="1" spans="2:12">
      <c r="B122" s="88"/>
      <c r="C122" s="93" t="s">
        <v>1179</v>
      </c>
      <c r="D122" s="90">
        <f t="shared" si="12"/>
        <v>67.5</v>
      </c>
      <c r="E122" s="90"/>
      <c r="F122" s="90"/>
      <c r="G122" s="91"/>
      <c r="H122" s="91">
        <f t="shared" si="13"/>
        <v>67.5</v>
      </c>
      <c r="I122" s="99" t="s">
        <v>760</v>
      </c>
      <c r="J122" s="99">
        <v>15000</v>
      </c>
      <c r="K122" s="99">
        <v>45</v>
      </c>
      <c r="L122" s="98"/>
    </row>
    <row r="123" s="13" customFormat="1" ht="21.75" customHeight="1" spans="2:12">
      <c r="B123" s="88"/>
      <c r="C123" s="93" t="s">
        <v>1180</v>
      </c>
      <c r="D123" s="90">
        <f t="shared" ref="D123:D132" si="14">J123*K123/10000</f>
        <v>840</v>
      </c>
      <c r="E123" s="90"/>
      <c r="F123" s="90"/>
      <c r="G123" s="91"/>
      <c r="H123" s="91">
        <f t="shared" ref="H123:H132" si="15">SUM(D123:G123)</f>
        <v>840</v>
      </c>
      <c r="I123" s="99" t="s">
        <v>1177</v>
      </c>
      <c r="J123" s="99">
        <v>56000</v>
      </c>
      <c r="K123" s="99">
        <v>150</v>
      </c>
      <c r="L123" s="98"/>
    </row>
    <row r="124" s="13" customFormat="1" ht="21.75" customHeight="1" spans="2:12">
      <c r="B124" s="88" t="s">
        <v>55</v>
      </c>
      <c r="C124" s="89" t="s">
        <v>857</v>
      </c>
      <c r="D124" s="90">
        <f t="shared" si="14"/>
        <v>0</v>
      </c>
      <c r="E124" s="90"/>
      <c r="F124" s="90"/>
      <c r="G124" s="91"/>
      <c r="H124" s="91">
        <f t="shared" si="15"/>
        <v>0</v>
      </c>
      <c r="I124" s="99"/>
      <c r="J124" s="99"/>
      <c r="K124" s="99"/>
      <c r="L124" s="98"/>
    </row>
    <row r="125" s="13" customFormat="1" ht="21.75" customHeight="1" spans="2:12">
      <c r="B125" s="88"/>
      <c r="C125" s="93" t="s">
        <v>1181</v>
      </c>
      <c r="D125" s="90">
        <f t="shared" si="14"/>
        <v>1029</v>
      </c>
      <c r="E125" s="90"/>
      <c r="F125" s="90"/>
      <c r="G125" s="91"/>
      <c r="H125" s="91">
        <f t="shared" si="15"/>
        <v>1029</v>
      </c>
      <c r="I125" s="99" t="s">
        <v>1177</v>
      </c>
      <c r="J125" s="99">
        <v>34300</v>
      </c>
      <c r="K125" s="99">
        <v>300</v>
      </c>
      <c r="L125" s="98"/>
    </row>
    <row r="126" s="13" customFormat="1" ht="21.75" customHeight="1" spans="2:12">
      <c r="B126" s="88"/>
      <c r="C126" s="93" t="s">
        <v>1182</v>
      </c>
      <c r="D126" s="90">
        <f t="shared" si="14"/>
        <v>600</v>
      </c>
      <c r="E126" s="90"/>
      <c r="F126" s="90"/>
      <c r="G126" s="91"/>
      <c r="H126" s="91">
        <f t="shared" si="15"/>
        <v>600</v>
      </c>
      <c r="I126" s="99" t="s">
        <v>1177</v>
      </c>
      <c r="J126" s="99">
        <v>2000</v>
      </c>
      <c r="K126" s="99">
        <v>3000</v>
      </c>
      <c r="L126" s="98"/>
    </row>
    <row r="127" s="13" customFormat="1" ht="21.75" customHeight="1" spans="2:12">
      <c r="B127" s="88"/>
      <c r="C127" s="93" t="s">
        <v>1183</v>
      </c>
      <c r="D127" s="90">
        <f t="shared" si="14"/>
        <v>1852.5</v>
      </c>
      <c r="E127" s="90"/>
      <c r="F127" s="90"/>
      <c r="G127" s="91"/>
      <c r="H127" s="91">
        <f t="shared" si="15"/>
        <v>1852.5</v>
      </c>
      <c r="I127" s="99" t="s">
        <v>1177</v>
      </c>
      <c r="J127" s="99">
        <v>75000</v>
      </c>
      <c r="K127" s="99">
        <v>247</v>
      </c>
      <c r="L127" s="98"/>
    </row>
    <row r="128" s="13" customFormat="1" ht="21.75" customHeight="1" spans="2:12">
      <c r="B128" s="88"/>
      <c r="C128" s="93" t="s">
        <v>1184</v>
      </c>
      <c r="D128" s="90">
        <f t="shared" si="14"/>
        <v>48</v>
      </c>
      <c r="E128" s="90"/>
      <c r="F128" s="90"/>
      <c r="G128" s="91"/>
      <c r="H128" s="91">
        <f t="shared" si="15"/>
        <v>48</v>
      </c>
      <c r="I128" s="99" t="s">
        <v>26</v>
      </c>
      <c r="J128" s="99">
        <v>8</v>
      </c>
      <c r="K128" s="99">
        <v>60000</v>
      </c>
      <c r="L128" s="98"/>
    </row>
    <row r="129" s="13" customFormat="1" ht="21.75" customHeight="1" spans="2:12">
      <c r="B129" s="88"/>
      <c r="C129" s="93" t="s">
        <v>1185</v>
      </c>
      <c r="D129" s="90">
        <f t="shared" si="14"/>
        <v>504</v>
      </c>
      <c r="E129" s="90"/>
      <c r="F129" s="90"/>
      <c r="G129" s="91"/>
      <c r="H129" s="91">
        <f t="shared" si="15"/>
        <v>504</v>
      </c>
      <c r="I129" s="99" t="s">
        <v>863</v>
      </c>
      <c r="J129" s="99">
        <v>4</v>
      </c>
      <c r="K129" s="99">
        <v>1260000</v>
      </c>
      <c r="L129" s="98"/>
    </row>
    <row r="130" s="13" customFormat="1" ht="21.75" customHeight="1" spans="2:12">
      <c r="B130" s="88"/>
      <c r="C130" s="93" t="s">
        <v>1186</v>
      </c>
      <c r="D130" s="90">
        <f t="shared" si="14"/>
        <v>140</v>
      </c>
      <c r="E130" s="90"/>
      <c r="F130" s="90"/>
      <c r="G130" s="91"/>
      <c r="H130" s="91">
        <f t="shared" si="15"/>
        <v>140</v>
      </c>
      <c r="I130" s="99" t="s">
        <v>26</v>
      </c>
      <c r="J130" s="99">
        <v>7</v>
      </c>
      <c r="K130" s="99">
        <v>200000</v>
      </c>
      <c r="L130" s="98"/>
    </row>
    <row r="131" s="13" customFormat="1" ht="21.75" customHeight="1" spans="2:12">
      <c r="B131" s="88"/>
      <c r="C131" s="93" t="s">
        <v>1187</v>
      </c>
      <c r="D131" s="90">
        <f t="shared" si="14"/>
        <v>44</v>
      </c>
      <c r="E131" s="90"/>
      <c r="F131" s="90"/>
      <c r="G131" s="91"/>
      <c r="H131" s="91">
        <f t="shared" si="15"/>
        <v>44</v>
      </c>
      <c r="I131" s="99" t="s">
        <v>26</v>
      </c>
      <c r="J131" s="99">
        <v>220</v>
      </c>
      <c r="K131" s="99">
        <v>2000</v>
      </c>
      <c r="L131" s="98"/>
    </row>
    <row r="132" s="13" customFormat="1" ht="21.75" customHeight="1" spans="2:12">
      <c r="B132" s="88"/>
      <c r="C132" s="93" t="s">
        <v>1188</v>
      </c>
      <c r="D132" s="90">
        <f t="shared" si="14"/>
        <v>45</v>
      </c>
      <c r="E132" s="90"/>
      <c r="F132" s="90"/>
      <c r="G132" s="91"/>
      <c r="H132" s="91">
        <f t="shared" si="15"/>
        <v>45</v>
      </c>
      <c r="I132" s="99" t="s">
        <v>26</v>
      </c>
      <c r="J132" s="99">
        <v>300</v>
      </c>
      <c r="K132" s="99">
        <v>1500</v>
      </c>
      <c r="L132" s="98"/>
    </row>
    <row r="133" s="13" customFormat="1" ht="21.75" customHeight="1" spans="2:12">
      <c r="B133" s="88"/>
      <c r="C133" s="93" t="s">
        <v>1189</v>
      </c>
      <c r="D133" s="90">
        <v>262.5</v>
      </c>
      <c r="E133" s="90"/>
      <c r="F133" s="90"/>
      <c r="G133" s="91"/>
      <c r="H133" s="91">
        <v>262.5</v>
      </c>
      <c r="I133" s="99" t="s">
        <v>314</v>
      </c>
      <c r="J133" s="99">
        <v>1</v>
      </c>
      <c r="K133" s="99"/>
      <c r="L133" s="98"/>
    </row>
    <row r="134" s="13" customFormat="1" ht="21.75" customHeight="1" spans="2:12">
      <c r="B134" s="88"/>
      <c r="C134" s="93" t="s">
        <v>1190</v>
      </c>
      <c r="D134" s="90">
        <f>J134*K134/10000</f>
        <v>120</v>
      </c>
      <c r="E134" s="90"/>
      <c r="F134" s="90"/>
      <c r="G134" s="91"/>
      <c r="H134" s="91">
        <f>SUM(D134:G134)</f>
        <v>120</v>
      </c>
      <c r="I134" s="99" t="s">
        <v>26</v>
      </c>
      <c r="J134" s="99">
        <v>1000</v>
      </c>
      <c r="K134" s="99">
        <v>1200</v>
      </c>
      <c r="L134" s="98"/>
    </row>
    <row r="135" s="13" customFormat="1" ht="21.75" customHeight="1" spans="2:12">
      <c r="B135" s="88" t="s">
        <v>59</v>
      </c>
      <c r="C135" s="89" t="s">
        <v>861</v>
      </c>
      <c r="D135" s="90">
        <v>0</v>
      </c>
      <c r="E135" s="90"/>
      <c r="F135" s="90"/>
      <c r="G135" s="91"/>
      <c r="H135" s="91">
        <v>0</v>
      </c>
      <c r="I135" s="99"/>
      <c r="J135" s="99"/>
      <c r="K135" s="99"/>
      <c r="L135" s="98"/>
    </row>
    <row r="136" s="13" customFormat="1" ht="21.75" customHeight="1" spans="2:12">
      <c r="B136" s="88"/>
      <c r="C136" s="93" t="s">
        <v>862</v>
      </c>
      <c r="D136" s="90">
        <f t="shared" ref="D136:D149" si="16">J136*K136/10000</f>
        <v>400</v>
      </c>
      <c r="E136" s="90"/>
      <c r="F136" s="90"/>
      <c r="G136" s="91"/>
      <c r="H136" s="91">
        <f t="shared" ref="H136:H149" si="17">SUM(D136:G136)</f>
        <v>400</v>
      </c>
      <c r="I136" s="99" t="s">
        <v>863</v>
      </c>
      <c r="J136" s="99">
        <v>5</v>
      </c>
      <c r="K136" s="99">
        <v>800000</v>
      </c>
      <c r="L136" s="98"/>
    </row>
    <row r="137" s="13" customFormat="1" ht="21.75" customHeight="1" spans="2:12">
      <c r="B137" s="88"/>
      <c r="C137" s="93" t="s">
        <v>864</v>
      </c>
      <c r="D137" s="90">
        <f t="shared" si="16"/>
        <v>60</v>
      </c>
      <c r="E137" s="90"/>
      <c r="F137" s="90"/>
      <c r="G137" s="91"/>
      <c r="H137" s="91">
        <f t="shared" si="17"/>
        <v>60</v>
      </c>
      <c r="I137" s="99" t="s">
        <v>863</v>
      </c>
      <c r="J137" s="99">
        <v>4</v>
      </c>
      <c r="K137" s="99">
        <v>150000</v>
      </c>
      <c r="L137" s="98"/>
    </row>
    <row r="138" s="13" customFormat="1" ht="21.75" customHeight="1" spans="2:12">
      <c r="B138" s="88"/>
      <c r="C138" s="93" t="s">
        <v>1156</v>
      </c>
      <c r="D138" s="90">
        <f t="shared" si="16"/>
        <v>50</v>
      </c>
      <c r="E138" s="90"/>
      <c r="F138" s="90"/>
      <c r="G138" s="91"/>
      <c r="H138" s="91">
        <f t="shared" si="17"/>
        <v>50</v>
      </c>
      <c r="I138" s="99" t="s">
        <v>863</v>
      </c>
      <c r="J138" s="99">
        <v>1</v>
      </c>
      <c r="K138" s="99">
        <v>500000</v>
      </c>
      <c r="L138" s="98"/>
    </row>
    <row r="139" s="13" customFormat="1" ht="21.75" customHeight="1" spans="2:12">
      <c r="B139" s="88"/>
      <c r="C139" s="93" t="s">
        <v>1157</v>
      </c>
      <c r="D139" s="90">
        <f t="shared" si="16"/>
        <v>50</v>
      </c>
      <c r="E139" s="90"/>
      <c r="F139" s="90"/>
      <c r="G139" s="91"/>
      <c r="H139" s="91">
        <f t="shared" si="17"/>
        <v>50</v>
      </c>
      <c r="I139" s="99" t="s">
        <v>863</v>
      </c>
      <c r="J139" s="99">
        <v>1</v>
      </c>
      <c r="K139" s="99">
        <v>500000</v>
      </c>
      <c r="L139" s="98"/>
    </row>
    <row r="140" s="13" customFormat="1" ht="21.75" customHeight="1" spans="2:12">
      <c r="B140" s="88"/>
      <c r="C140" s="93" t="s">
        <v>1158</v>
      </c>
      <c r="D140" s="90">
        <f t="shared" si="16"/>
        <v>30</v>
      </c>
      <c r="E140" s="90"/>
      <c r="F140" s="90"/>
      <c r="G140" s="91"/>
      <c r="H140" s="91">
        <f t="shared" si="17"/>
        <v>30</v>
      </c>
      <c r="I140" s="99" t="s">
        <v>863</v>
      </c>
      <c r="J140" s="99">
        <v>1</v>
      </c>
      <c r="K140" s="99">
        <v>300000</v>
      </c>
      <c r="L140" s="98"/>
    </row>
    <row r="141" s="13" customFormat="1" ht="21.75" customHeight="1" spans="2:12">
      <c r="B141" s="88"/>
      <c r="C141" s="93" t="s">
        <v>865</v>
      </c>
      <c r="D141" s="90">
        <f t="shared" si="16"/>
        <v>32.5</v>
      </c>
      <c r="E141" s="90"/>
      <c r="F141" s="90"/>
      <c r="G141" s="91"/>
      <c r="H141" s="91">
        <f t="shared" si="17"/>
        <v>32.5</v>
      </c>
      <c r="I141" s="99" t="s">
        <v>863</v>
      </c>
      <c r="J141" s="99">
        <v>13</v>
      </c>
      <c r="K141" s="99">
        <v>25000</v>
      </c>
      <c r="L141" s="98"/>
    </row>
    <row r="142" s="13" customFormat="1" ht="21.75" customHeight="1" spans="2:12">
      <c r="B142" s="88"/>
      <c r="C142" s="93" t="s">
        <v>866</v>
      </c>
      <c r="D142" s="90">
        <f t="shared" si="16"/>
        <v>375</v>
      </c>
      <c r="E142" s="90"/>
      <c r="F142" s="90"/>
      <c r="G142" s="91"/>
      <c r="H142" s="91">
        <f t="shared" si="17"/>
        <v>375</v>
      </c>
      <c r="I142" s="99" t="s">
        <v>820</v>
      </c>
      <c r="J142" s="99">
        <v>15</v>
      </c>
      <c r="K142" s="99">
        <v>250000</v>
      </c>
      <c r="L142" s="98"/>
    </row>
    <row r="143" s="13" customFormat="1" ht="21.75" customHeight="1" spans="2:12">
      <c r="B143" s="88"/>
      <c r="C143" s="93" t="s">
        <v>867</v>
      </c>
      <c r="D143" s="90">
        <f t="shared" si="16"/>
        <v>90</v>
      </c>
      <c r="E143" s="90"/>
      <c r="F143" s="90"/>
      <c r="G143" s="91"/>
      <c r="H143" s="91">
        <f t="shared" si="17"/>
        <v>90</v>
      </c>
      <c r="I143" s="99" t="s">
        <v>820</v>
      </c>
      <c r="J143" s="99">
        <v>5</v>
      </c>
      <c r="K143" s="99">
        <v>180000</v>
      </c>
      <c r="L143" s="98"/>
    </row>
    <row r="144" s="13" customFormat="1" ht="21.75" customHeight="1" spans="2:12">
      <c r="B144" s="88"/>
      <c r="C144" s="93" t="s">
        <v>868</v>
      </c>
      <c r="D144" s="90">
        <f t="shared" si="16"/>
        <v>30</v>
      </c>
      <c r="E144" s="90"/>
      <c r="F144" s="90"/>
      <c r="G144" s="91"/>
      <c r="H144" s="91">
        <f t="shared" si="17"/>
        <v>30</v>
      </c>
      <c r="I144" s="99" t="s">
        <v>820</v>
      </c>
      <c r="J144" s="99">
        <v>5</v>
      </c>
      <c r="K144" s="99">
        <v>60000</v>
      </c>
      <c r="L144" s="98"/>
    </row>
    <row r="145" s="13" customFormat="1" ht="21.75" customHeight="1" spans="2:12">
      <c r="B145" s="88"/>
      <c r="C145" s="93" t="s">
        <v>869</v>
      </c>
      <c r="D145" s="90">
        <f t="shared" si="16"/>
        <v>97.5</v>
      </c>
      <c r="E145" s="90"/>
      <c r="F145" s="90"/>
      <c r="G145" s="91"/>
      <c r="H145" s="91">
        <f t="shared" si="17"/>
        <v>97.5</v>
      </c>
      <c r="I145" s="99" t="s">
        <v>26</v>
      </c>
      <c r="J145" s="99">
        <v>325</v>
      </c>
      <c r="K145" s="99">
        <v>3000</v>
      </c>
      <c r="L145" s="98"/>
    </row>
    <row r="146" s="13" customFormat="1" ht="21.75" customHeight="1" spans="2:12">
      <c r="B146" s="88"/>
      <c r="C146" s="93" t="s">
        <v>870</v>
      </c>
      <c r="D146" s="90">
        <f t="shared" si="16"/>
        <v>0.2</v>
      </c>
      <c r="E146" s="90"/>
      <c r="F146" s="90"/>
      <c r="G146" s="91"/>
      <c r="H146" s="91">
        <f t="shared" si="17"/>
        <v>0.2</v>
      </c>
      <c r="I146" s="99" t="s">
        <v>314</v>
      </c>
      <c r="J146" s="99">
        <v>1</v>
      </c>
      <c r="K146" s="99">
        <v>2000</v>
      </c>
      <c r="L146" s="98"/>
    </row>
    <row r="147" s="13" customFormat="1" ht="21.75" customHeight="1" spans="2:12">
      <c r="B147" s="88"/>
      <c r="C147" s="93" t="s">
        <v>871</v>
      </c>
      <c r="D147" s="90">
        <f t="shared" si="16"/>
        <v>500</v>
      </c>
      <c r="E147" s="90"/>
      <c r="F147" s="90"/>
      <c r="G147" s="91"/>
      <c r="H147" s="91">
        <f t="shared" si="17"/>
        <v>500</v>
      </c>
      <c r="I147" s="99" t="s">
        <v>314</v>
      </c>
      <c r="J147" s="99">
        <v>25</v>
      </c>
      <c r="K147" s="99">
        <v>200000</v>
      </c>
      <c r="L147" s="98"/>
    </row>
    <row r="148" s="13" customFormat="1" ht="21.75" customHeight="1" spans="2:12">
      <c r="B148" s="88"/>
      <c r="C148" s="93" t="s">
        <v>872</v>
      </c>
      <c r="D148" s="90">
        <f t="shared" si="16"/>
        <v>45</v>
      </c>
      <c r="E148" s="90"/>
      <c r="F148" s="90"/>
      <c r="G148" s="91"/>
      <c r="H148" s="91">
        <f t="shared" si="17"/>
        <v>45</v>
      </c>
      <c r="I148" s="99" t="s">
        <v>820</v>
      </c>
      <c r="J148" s="99">
        <v>15</v>
      </c>
      <c r="K148" s="99">
        <v>30000</v>
      </c>
      <c r="L148" s="98"/>
    </row>
    <row r="149" s="13" customFormat="1" ht="21.75" customHeight="1" spans="2:12">
      <c r="B149" s="88"/>
      <c r="C149" s="93" t="s">
        <v>873</v>
      </c>
      <c r="D149" s="90">
        <f t="shared" si="16"/>
        <v>90</v>
      </c>
      <c r="E149" s="90"/>
      <c r="F149" s="90"/>
      <c r="G149" s="91"/>
      <c r="H149" s="91">
        <f t="shared" si="17"/>
        <v>90</v>
      </c>
      <c r="I149" s="99" t="s">
        <v>26</v>
      </c>
      <c r="J149" s="99">
        <v>300</v>
      </c>
      <c r="K149" s="99">
        <v>3000</v>
      </c>
      <c r="L149" s="98"/>
    </row>
    <row r="150" s="13" customFormat="1" ht="21.75" customHeight="1" spans="2:12">
      <c r="B150" s="88"/>
      <c r="C150" s="93" t="s">
        <v>1159</v>
      </c>
      <c r="D150" s="90">
        <v>400</v>
      </c>
      <c r="E150" s="90"/>
      <c r="F150" s="90"/>
      <c r="G150" s="91"/>
      <c r="H150" s="91">
        <v>400</v>
      </c>
      <c r="I150" s="99" t="s">
        <v>314</v>
      </c>
      <c r="J150" s="99">
        <v>1</v>
      </c>
      <c r="K150" s="99"/>
      <c r="L150" s="98"/>
    </row>
    <row r="151" s="13" customFormat="1" ht="21.75" customHeight="1" spans="2:12">
      <c r="B151" s="88"/>
      <c r="C151" s="93" t="s">
        <v>1160</v>
      </c>
      <c r="D151" s="90">
        <v>530</v>
      </c>
      <c r="E151" s="90"/>
      <c r="F151" s="90"/>
      <c r="G151" s="91"/>
      <c r="H151" s="91">
        <v>530</v>
      </c>
      <c r="I151" s="99" t="s">
        <v>314</v>
      </c>
      <c r="J151" s="99">
        <v>1</v>
      </c>
      <c r="K151" s="99"/>
      <c r="L151" s="98"/>
    </row>
    <row r="152" s="13" customFormat="1" ht="21.75" customHeight="1" spans="2:12">
      <c r="B152" s="85" t="s">
        <v>923</v>
      </c>
      <c r="C152" s="102" t="s">
        <v>1161</v>
      </c>
      <c r="D152" s="90">
        <v>0</v>
      </c>
      <c r="E152" s="87"/>
      <c r="F152" s="87"/>
      <c r="G152" s="87"/>
      <c r="H152" s="91">
        <v>0</v>
      </c>
      <c r="I152" s="96"/>
      <c r="J152" s="96"/>
      <c r="K152" s="96"/>
      <c r="L152" s="98"/>
    </row>
    <row r="153" s="13" customFormat="1" ht="21.75" customHeight="1" spans="2:12">
      <c r="B153" s="88" t="s">
        <v>18</v>
      </c>
      <c r="C153" s="102" t="s">
        <v>877</v>
      </c>
      <c r="D153" s="90">
        <v>0</v>
      </c>
      <c r="E153" s="90"/>
      <c r="F153" s="90"/>
      <c r="G153" s="91"/>
      <c r="H153" s="91">
        <v>0</v>
      </c>
      <c r="I153" s="107"/>
      <c r="J153" s="90"/>
      <c r="K153" s="100"/>
      <c r="L153" s="98"/>
    </row>
    <row r="154" s="13" customFormat="1" ht="21.75" customHeight="1" spans="2:12">
      <c r="B154" s="88"/>
      <c r="C154" s="92" t="s">
        <v>1191</v>
      </c>
      <c r="D154" s="90">
        <f t="shared" ref="D154" si="18">J154*K154/10000</f>
        <v>299.012</v>
      </c>
      <c r="E154" s="90"/>
      <c r="F154" s="90"/>
      <c r="G154" s="91"/>
      <c r="H154" s="91">
        <f t="shared" ref="H154" si="19">SUM(D154:G154)</f>
        <v>299.012</v>
      </c>
      <c r="I154" s="107" t="s">
        <v>29</v>
      </c>
      <c r="J154" s="107">
        <v>3620</v>
      </c>
      <c r="K154" s="107">
        <v>826</v>
      </c>
      <c r="L154" s="98"/>
    </row>
    <row r="155" s="13" customFormat="1" ht="21.75" customHeight="1" spans="2:12">
      <c r="B155" s="88" t="s">
        <v>40</v>
      </c>
      <c r="C155" s="103" t="s">
        <v>879</v>
      </c>
      <c r="D155" s="90">
        <v>0</v>
      </c>
      <c r="E155" s="90"/>
      <c r="F155" s="90"/>
      <c r="G155" s="91"/>
      <c r="H155" s="91">
        <v>0</v>
      </c>
      <c r="I155" s="107"/>
      <c r="J155" s="107"/>
      <c r="K155" s="107"/>
      <c r="L155" s="98"/>
    </row>
    <row r="156" s="13" customFormat="1" ht="21.75" customHeight="1" spans="2:12">
      <c r="B156" s="88"/>
      <c r="C156" s="104" t="s">
        <v>880</v>
      </c>
      <c r="D156" s="90">
        <f t="shared" ref="D156:D158" si="20">J156*K156/10000</f>
        <v>558</v>
      </c>
      <c r="E156" s="90"/>
      <c r="F156" s="90"/>
      <c r="G156" s="91"/>
      <c r="H156" s="91">
        <f t="shared" ref="H156:H158" si="21">SUM(D156:G156)</f>
        <v>558</v>
      </c>
      <c r="I156" s="107" t="s">
        <v>760</v>
      </c>
      <c r="J156" s="107">
        <v>186000</v>
      </c>
      <c r="K156" s="107">
        <v>30</v>
      </c>
      <c r="L156" s="98"/>
    </row>
    <row r="157" s="13" customFormat="1" ht="21.75" customHeight="1" spans="2:12">
      <c r="B157" s="88"/>
      <c r="C157" s="104" t="s">
        <v>881</v>
      </c>
      <c r="D157" s="90">
        <f t="shared" si="20"/>
        <v>2418</v>
      </c>
      <c r="E157" s="90"/>
      <c r="F157" s="90"/>
      <c r="G157" s="91"/>
      <c r="H157" s="91">
        <f t="shared" si="21"/>
        <v>2418</v>
      </c>
      <c r="I157" s="107" t="s">
        <v>760</v>
      </c>
      <c r="J157" s="107">
        <v>186000</v>
      </c>
      <c r="K157" s="107">
        <v>130</v>
      </c>
      <c r="L157" s="98"/>
    </row>
    <row r="158" s="13" customFormat="1" ht="21.75" customHeight="1" spans="2:12">
      <c r="B158" s="88"/>
      <c r="C158" s="105" t="s">
        <v>761</v>
      </c>
      <c r="D158" s="90">
        <f t="shared" si="20"/>
        <v>63.8897</v>
      </c>
      <c r="E158" s="90"/>
      <c r="F158" s="90"/>
      <c r="G158" s="91"/>
      <c r="H158" s="91">
        <f t="shared" si="21"/>
        <v>63.8897</v>
      </c>
      <c r="I158" s="108" t="s">
        <v>841</v>
      </c>
      <c r="J158" s="107">
        <v>5</v>
      </c>
      <c r="K158" s="107">
        <v>127779.4</v>
      </c>
      <c r="L158" s="98"/>
    </row>
    <row r="159" s="13" customFormat="1" ht="21.75" customHeight="1" spans="2:12">
      <c r="B159" s="88" t="s">
        <v>45</v>
      </c>
      <c r="C159" s="103" t="s">
        <v>885</v>
      </c>
      <c r="D159" s="90">
        <v>0</v>
      </c>
      <c r="E159" s="90"/>
      <c r="F159" s="90"/>
      <c r="G159" s="91"/>
      <c r="H159" s="91">
        <v>0</v>
      </c>
      <c r="I159" s="107"/>
      <c r="J159" s="107"/>
      <c r="K159" s="107"/>
      <c r="L159" s="98"/>
    </row>
    <row r="160" s="13" customFormat="1" ht="21.75" customHeight="1" spans="2:12">
      <c r="B160" s="88"/>
      <c r="C160" s="104" t="s">
        <v>886</v>
      </c>
      <c r="D160" s="90">
        <f t="shared" ref="D160" si="22">J160*K160/10000</f>
        <v>800</v>
      </c>
      <c r="E160" s="90"/>
      <c r="F160" s="90"/>
      <c r="G160" s="91"/>
      <c r="H160" s="91">
        <f t="shared" ref="H160" si="23">SUM(D160:G160)</f>
        <v>800</v>
      </c>
      <c r="I160" s="107" t="s">
        <v>760</v>
      </c>
      <c r="J160" s="107">
        <v>40000</v>
      </c>
      <c r="K160" s="107">
        <v>200</v>
      </c>
      <c r="L160" s="98"/>
    </row>
    <row r="161" s="13" customFormat="1" ht="21.75" customHeight="1" spans="2:12">
      <c r="B161" s="88" t="s">
        <v>47</v>
      </c>
      <c r="C161" s="103" t="s">
        <v>1164</v>
      </c>
      <c r="D161" s="90">
        <v>128</v>
      </c>
      <c r="E161" s="90"/>
      <c r="F161" s="90"/>
      <c r="G161" s="91"/>
      <c r="H161" s="91">
        <v>128</v>
      </c>
      <c r="I161" s="108" t="s">
        <v>841</v>
      </c>
      <c r="J161" s="107">
        <v>1</v>
      </c>
      <c r="K161" s="107"/>
      <c r="L161" s="98"/>
    </row>
    <row r="162" s="13" customFormat="1" ht="21.75" customHeight="1" spans="2:12">
      <c r="B162" s="88" t="s">
        <v>51</v>
      </c>
      <c r="C162" s="103" t="s">
        <v>1165</v>
      </c>
      <c r="D162" s="90">
        <v>160</v>
      </c>
      <c r="E162" s="90"/>
      <c r="F162" s="90"/>
      <c r="G162" s="91"/>
      <c r="H162" s="91">
        <v>160</v>
      </c>
      <c r="I162" s="108" t="s">
        <v>841</v>
      </c>
      <c r="J162" s="107">
        <v>1</v>
      </c>
      <c r="K162" s="107"/>
      <c r="L162" s="98"/>
    </row>
    <row r="163" s="13" customFormat="1" ht="21.75" customHeight="1" spans="2:12">
      <c r="B163" s="88" t="s">
        <v>53</v>
      </c>
      <c r="C163" s="103" t="s">
        <v>887</v>
      </c>
      <c r="D163" s="90">
        <v>0</v>
      </c>
      <c r="E163" s="90"/>
      <c r="F163" s="90"/>
      <c r="G163" s="91"/>
      <c r="H163" s="91">
        <v>0</v>
      </c>
      <c r="I163" s="107"/>
      <c r="J163" s="107"/>
      <c r="K163" s="107"/>
      <c r="L163" s="98"/>
    </row>
    <row r="164" s="13" customFormat="1" ht="21.75" customHeight="1" spans="2:12">
      <c r="B164" s="88"/>
      <c r="C164" s="104" t="s">
        <v>888</v>
      </c>
      <c r="D164" s="90">
        <f t="shared" ref="D164:D166" si="24">J164*K164/10000</f>
        <v>2640</v>
      </c>
      <c r="E164" s="90"/>
      <c r="F164" s="90"/>
      <c r="G164" s="91"/>
      <c r="H164" s="91">
        <f t="shared" ref="H164:H166" si="25">SUM(D164:G164)</f>
        <v>2640</v>
      </c>
      <c r="I164" s="108" t="s">
        <v>283</v>
      </c>
      <c r="J164" s="107">
        <v>80000</v>
      </c>
      <c r="K164" s="107">
        <v>330</v>
      </c>
      <c r="L164" s="98"/>
    </row>
    <row r="165" s="13" customFormat="1" ht="21.75" customHeight="1" spans="2:12">
      <c r="B165" s="88"/>
      <c r="C165" s="104" t="s">
        <v>890</v>
      </c>
      <c r="D165" s="90">
        <f t="shared" si="24"/>
        <v>336</v>
      </c>
      <c r="E165" s="90"/>
      <c r="F165" s="90"/>
      <c r="G165" s="91"/>
      <c r="H165" s="91">
        <f t="shared" si="25"/>
        <v>336</v>
      </c>
      <c r="I165" s="108" t="s">
        <v>1192</v>
      </c>
      <c r="J165" s="107">
        <v>48000</v>
      </c>
      <c r="K165" s="107">
        <v>70</v>
      </c>
      <c r="L165" s="98"/>
    </row>
    <row r="166" s="13" customFormat="1" ht="21.75" customHeight="1" spans="2:12">
      <c r="B166" s="88"/>
      <c r="C166" s="104" t="s">
        <v>891</v>
      </c>
      <c r="D166" s="90">
        <f t="shared" si="24"/>
        <v>6.75</v>
      </c>
      <c r="E166" s="90"/>
      <c r="F166" s="90"/>
      <c r="G166" s="91"/>
      <c r="H166" s="91">
        <f t="shared" si="25"/>
        <v>6.75</v>
      </c>
      <c r="I166" s="107" t="s">
        <v>42</v>
      </c>
      <c r="J166" s="107">
        <v>1500</v>
      </c>
      <c r="K166" s="107">
        <v>45</v>
      </c>
      <c r="L166" s="98"/>
    </row>
    <row r="167" s="13" customFormat="1" ht="21.75" customHeight="1" spans="2:12">
      <c r="B167" s="88" t="s">
        <v>55</v>
      </c>
      <c r="C167" s="103" t="s">
        <v>894</v>
      </c>
      <c r="D167" s="90">
        <v>0</v>
      </c>
      <c r="E167" s="90"/>
      <c r="F167" s="90"/>
      <c r="G167" s="91"/>
      <c r="H167" s="91">
        <v>0</v>
      </c>
      <c r="I167" s="107"/>
      <c r="J167" s="107"/>
      <c r="K167" s="107"/>
      <c r="L167" s="98"/>
    </row>
    <row r="168" s="13" customFormat="1" ht="21.75" customHeight="1" spans="2:12">
      <c r="B168" s="88"/>
      <c r="C168" s="104" t="s">
        <v>895</v>
      </c>
      <c r="D168" s="90">
        <f t="shared" ref="D168:D175" si="26">J168*K168/10000</f>
        <v>780</v>
      </c>
      <c r="E168" s="90"/>
      <c r="F168" s="90"/>
      <c r="G168" s="91"/>
      <c r="H168" s="91">
        <f t="shared" ref="H168:H175" si="27">SUM(D168:G168)</f>
        <v>780</v>
      </c>
      <c r="I168" s="99" t="s">
        <v>1177</v>
      </c>
      <c r="J168" s="107">
        <v>26000</v>
      </c>
      <c r="K168" s="107">
        <v>300</v>
      </c>
      <c r="L168" s="98"/>
    </row>
    <row r="169" s="13" customFormat="1" ht="21.75" customHeight="1" spans="2:12">
      <c r="B169" s="88"/>
      <c r="C169" s="104" t="s">
        <v>896</v>
      </c>
      <c r="D169" s="90">
        <f t="shared" si="26"/>
        <v>600</v>
      </c>
      <c r="E169" s="90"/>
      <c r="F169" s="90"/>
      <c r="G169" s="91"/>
      <c r="H169" s="91">
        <f t="shared" si="27"/>
        <v>600</v>
      </c>
      <c r="I169" s="99" t="s">
        <v>1177</v>
      </c>
      <c r="J169" s="107">
        <v>2000</v>
      </c>
      <c r="K169" s="107">
        <v>3000</v>
      </c>
      <c r="L169" s="98"/>
    </row>
    <row r="170" s="13" customFormat="1" ht="21.75" customHeight="1" spans="2:12">
      <c r="B170" s="88"/>
      <c r="C170" s="104" t="s">
        <v>897</v>
      </c>
      <c r="D170" s="90">
        <f t="shared" si="26"/>
        <v>1235</v>
      </c>
      <c r="E170" s="90"/>
      <c r="F170" s="90"/>
      <c r="G170" s="91"/>
      <c r="H170" s="91">
        <f t="shared" si="27"/>
        <v>1235</v>
      </c>
      <c r="I170" s="107" t="s">
        <v>23</v>
      </c>
      <c r="J170" s="107">
        <v>50000</v>
      </c>
      <c r="K170" s="107">
        <v>247</v>
      </c>
      <c r="L170" s="98"/>
    </row>
    <row r="171" s="13" customFormat="1" ht="21.75" customHeight="1" spans="2:12">
      <c r="B171" s="88"/>
      <c r="C171" s="104" t="s">
        <v>1193</v>
      </c>
      <c r="D171" s="90">
        <f t="shared" si="26"/>
        <v>18</v>
      </c>
      <c r="E171" s="90"/>
      <c r="F171" s="90"/>
      <c r="G171" s="91"/>
      <c r="H171" s="91">
        <f t="shared" si="27"/>
        <v>18</v>
      </c>
      <c r="I171" s="108" t="s">
        <v>26</v>
      </c>
      <c r="J171" s="107">
        <v>3</v>
      </c>
      <c r="K171" s="107">
        <v>60000</v>
      </c>
      <c r="L171" s="98"/>
    </row>
    <row r="172" s="13" customFormat="1" ht="21.75" customHeight="1" spans="2:12">
      <c r="B172" s="88"/>
      <c r="C172" s="104" t="s">
        <v>898</v>
      </c>
      <c r="D172" s="90">
        <f t="shared" si="26"/>
        <v>504</v>
      </c>
      <c r="E172" s="90"/>
      <c r="F172" s="90"/>
      <c r="G172" s="91"/>
      <c r="H172" s="91">
        <f t="shared" si="27"/>
        <v>504</v>
      </c>
      <c r="I172" s="108" t="s">
        <v>863</v>
      </c>
      <c r="J172" s="107">
        <v>4</v>
      </c>
      <c r="K172" s="107">
        <v>1260000</v>
      </c>
      <c r="L172" s="98"/>
    </row>
    <row r="173" s="13" customFormat="1" ht="21.75" customHeight="1" spans="2:12">
      <c r="B173" s="88"/>
      <c r="C173" s="104" t="s">
        <v>1194</v>
      </c>
      <c r="D173" s="90">
        <f t="shared" si="26"/>
        <v>40</v>
      </c>
      <c r="E173" s="90"/>
      <c r="F173" s="90"/>
      <c r="G173" s="91"/>
      <c r="H173" s="91">
        <f t="shared" si="27"/>
        <v>40</v>
      </c>
      <c r="I173" s="108" t="s">
        <v>26</v>
      </c>
      <c r="J173" s="107">
        <v>2</v>
      </c>
      <c r="K173" s="107">
        <v>200000</v>
      </c>
      <c r="L173" s="98"/>
    </row>
    <row r="174" s="13" customFormat="1" ht="21.75" customHeight="1" spans="2:12">
      <c r="B174" s="88"/>
      <c r="C174" s="104" t="s">
        <v>899</v>
      </c>
      <c r="D174" s="90">
        <f t="shared" si="26"/>
        <v>8</v>
      </c>
      <c r="E174" s="90"/>
      <c r="F174" s="90"/>
      <c r="G174" s="91"/>
      <c r="H174" s="91">
        <f t="shared" si="27"/>
        <v>8</v>
      </c>
      <c r="I174" s="108" t="s">
        <v>26</v>
      </c>
      <c r="J174" s="107">
        <v>40</v>
      </c>
      <c r="K174" s="107">
        <v>2000</v>
      </c>
      <c r="L174" s="98"/>
    </row>
    <row r="175" s="13" customFormat="1" ht="21.75" customHeight="1" spans="2:12">
      <c r="B175" s="88"/>
      <c r="C175" s="104" t="s">
        <v>900</v>
      </c>
      <c r="D175" s="90">
        <f t="shared" si="26"/>
        <v>7.5</v>
      </c>
      <c r="E175" s="90"/>
      <c r="F175" s="90"/>
      <c r="G175" s="91"/>
      <c r="H175" s="91">
        <f t="shared" si="27"/>
        <v>7.5</v>
      </c>
      <c r="I175" s="108" t="s">
        <v>26</v>
      </c>
      <c r="J175" s="107">
        <v>50</v>
      </c>
      <c r="K175" s="107">
        <v>1500</v>
      </c>
      <c r="L175" s="98"/>
    </row>
    <row r="176" s="13" customFormat="1" ht="21.75" customHeight="1" spans="2:12">
      <c r="B176" s="88"/>
      <c r="C176" s="104" t="s">
        <v>901</v>
      </c>
      <c r="D176" s="90">
        <v>140</v>
      </c>
      <c r="E176" s="90"/>
      <c r="F176" s="90"/>
      <c r="G176" s="91"/>
      <c r="H176" s="91">
        <v>140</v>
      </c>
      <c r="I176" s="108" t="s">
        <v>314</v>
      </c>
      <c r="J176" s="107">
        <v>1</v>
      </c>
      <c r="K176" s="107"/>
      <c r="L176" s="98"/>
    </row>
    <row r="177" s="13" customFormat="1" ht="21.75" customHeight="1" spans="2:12">
      <c r="B177" s="88"/>
      <c r="C177" s="104" t="s">
        <v>902</v>
      </c>
      <c r="D177" s="90">
        <f t="shared" ref="D177" si="28">J177*K177/10000</f>
        <v>42</v>
      </c>
      <c r="E177" s="90"/>
      <c r="F177" s="90"/>
      <c r="G177" s="91"/>
      <c r="H177" s="91">
        <f t="shared" ref="H177" si="29">SUM(D177:G177)</f>
        <v>42</v>
      </c>
      <c r="I177" s="108" t="s">
        <v>26</v>
      </c>
      <c r="J177" s="107">
        <v>350</v>
      </c>
      <c r="K177" s="107">
        <v>1200</v>
      </c>
      <c r="L177" s="98"/>
    </row>
    <row r="178" s="13" customFormat="1" ht="21.75" customHeight="1" spans="2:12">
      <c r="B178" s="88" t="s">
        <v>59</v>
      </c>
      <c r="C178" s="103" t="s">
        <v>903</v>
      </c>
      <c r="D178" s="90">
        <v>0</v>
      </c>
      <c r="E178" s="90"/>
      <c r="F178" s="90"/>
      <c r="G178" s="91"/>
      <c r="H178" s="91">
        <v>0</v>
      </c>
      <c r="I178" s="107"/>
      <c r="J178" s="107"/>
      <c r="K178" s="107"/>
      <c r="L178" s="98"/>
    </row>
    <row r="179" s="13" customFormat="1" ht="21.75" customHeight="1" spans="2:12">
      <c r="B179" s="88"/>
      <c r="C179" s="104" t="s">
        <v>904</v>
      </c>
      <c r="D179" s="90">
        <f t="shared" ref="D179:D189" si="30">J179*K179/10000</f>
        <v>160</v>
      </c>
      <c r="E179" s="90"/>
      <c r="F179" s="90"/>
      <c r="G179" s="91"/>
      <c r="H179" s="91">
        <f t="shared" ref="H179:H189" si="31">SUM(D179:G179)</f>
        <v>160</v>
      </c>
      <c r="I179" s="108" t="s">
        <v>863</v>
      </c>
      <c r="J179" s="107">
        <v>2</v>
      </c>
      <c r="K179" s="107">
        <v>800000</v>
      </c>
      <c r="L179" s="98"/>
    </row>
    <row r="180" s="13" customFormat="1" ht="21.75" customHeight="1" spans="2:12">
      <c r="B180" s="88"/>
      <c r="C180" s="104" t="s">
        <v>905</v>
      </c>
      <c r="D180" s="90">
        <f t="shared" si="30"/>
        <v>30</v>
      </c>
      <c r="E180" s="90"/>
      <c r="F180" s="90"/>
      <c r="G180" s="91"/>
      <c r="H180" s="91">
        <f t="shared" si="31"/>
        <v>30</v>
      </c>
      <c r="I180" s="108" t="s">
        <v>863</v>
      </c>
      <c r="J180" s="107">
        <v>2</v>
      </c>
      <c r="K180" s="107">
        <v>150000</v>
      </c>
      <c r="L180" s="98"/>
    </row>
    <row r="181" s="13" customFormat="1" ht="21.75" customHeight="1" spans="2:12">
      <c r="B181" s="88"/>
      <c r="C181" s="104" t="s">
        <v>907</v>
      </c>
      <c r="D181" s="90">
        <f t="shared" si="30"/>
        <v>10</v>
      </c>
      <c r="E181" s="90"/>
      <c r="F181" s="90"/>
      <c r="G181" s="91"/>
      <c r="H181" s="91">
        <f t="shared" si="31"/>
        <v>10</v>
      </c>
      <c r="I181" s="108" t="s">
        <v>863</v>
      </c>
      <c r="J181" s="107">
        <v>4</v>
      </c>
      <c r="K181" s="107">
        <v>25000</v>
      </c>
      <c r="L181" s="98"/>
    </row>
    <row r="182" s="13" customFormat="1" ht="21.75" customHeight="1" spans="2:12">
      <c r="B182" s="88"/>
      <c r="C182" s="104" t="s">
        <v>908</v>
      </c>
      <c r="D182" s="90">
        <f t="shared" si="30"/>
        <v>295</v>
      </c>
      <c r="E182" s="90"/>
      <c r="F182" s="90"/>
      <c r="G182" s="91"/>
      <c r="H182" s="91">
        <f t="shared" si="31"/>
        <v>295</v>
      </c>
      <c r="I182" s="107" t="s">
        <v>820</v>
      </c>
      <c r="J182" s="107">
        <v>11.8</v>
      </c>
      <c r="K182" s="107">
        <v>250000</v>
      </c>
      <c r="L182" s="98"/>
    </row>
    <row r="183" s="13" customFormat="1" ht="21.75" customHeight="1" spans="2:12">
      <c r="B183" s="88"/>
      <c r="C183" s="104" t="s">
        <v>909</v>
      </c>
      <c r="D183" s="90">
        <f t="shared" si="30"/>
        <v>36</v>
      </c>
      <c r="E183" s="90"/>
      <c r="F183" s="90"/>
      <c r="G183" s="91"/>
      <c r="H183" s="91">
        <f t="shared" si="31"/>
        <v>36</v>
      </c>
      <c r="I183" s="107" t="s">
        <v>820</v>
      </c>
      <c r="J183" s="107">
        <v>2</v>
      </c>
      <c r="K183" s="107">
        <v>180000</v>
      </c>
      <c r="L183" s="98"/>
    </row>
    <row r="184" s="13" customFormat="1" ht="21.75" customHeight="1" spans="2:12">
      <c r="B184" s="88"/>
      <c r="C184" s="104" t="s">
        <v>910</v>
      </c>
      <c r="D184" s="90">
        <f t="shared" si="30"/>
        <v>12</v>
      </c>
      <c r="E184" s="90"/>
      <c r="F184" s="90"/>
      <c r="G184" s="91"/>
      <c r="H184" s="91">
        <f t="shared" si="31"/>
        <v>12</v>
      </c>
      <c r="I184" s="107" t="s">
        <v>820</v>
      </c>
      <c r="J184" s="107">
        <v>2</v>
      </c>
      <c r="K184" s="107">
        <v>60000</v>
      </c>
      <c r="L184" s="98"/>
    </row>
    <row r="185" s="13" customFormat="1" ht="21.75" customHeight="1" spans="2:12">
      <c r="B185" s="88"/>
      <c r="C185" s="104" t="s">
        <v>911</v>
      </c>
      <c r="D185" s="90">
        <f t="shared" si="30"/>
        <v>73.2</v>
      </c>
      <c r="E185" s="90"/>
      <c r="F185" s="90"/>
      <c r="G185" s="91"/>
      <c r="H185" s="91">
        <f t="shared" si="31"/>
        <v>73.2</v>
      </c>
      <c r="I185" s="108" t="s">
        <v>26</v>
      </c>
      <c r="J185" s="107">
        <v>244</v>
      </c>
      <c r="K185" s="107">
        <v>3000</v>
      </c>
      <c r="L185" s="98"/>
    </row>
    <row r="186" s="13" customFormat="1" ht="21.75" customHeight="1" spans="2:12">
      <c r="B186" s="88"/>
      <c r="C186" s="104" t="s">
        <v>912</v>
      </c>
      <c r="D186" s="90">
        <f t="shared" si="30"/>
        <v>0.2</v>
      </c>
      <c r="E186" s="90"/>
      <c r="F186" s="90"/>
      <c r="G186" s="91"/>
      <c r="H186" s="91">
        <f t="shared" si="31"/>
        <v>0.2</v>
      </c>
      <c r="I186" s="108" t="s">
        <v>314</v>
      </c>
      <c r="J186" s="107">
        <v>1</v>
      </c>
      <c r="K186" s="107">
        <v>2000</v>
      </c>
      <c r="L186" s="98"/>
    </row>
    <row r="187" s="13" customFormat="1" ht="21.75" customHeight="1" spans="2:12">
      <c r="B187" s="88"/>
      <c r="C187" s="104" t="s">
        <v>913</v>
      </c>
      <c r="D187" s="90">
        <f t="shared" si="30"/>
        <v>160</v>
      </c>
      <c r="E187" s="90"/>
      <c r="F187" s="90"/>
      <c r="G187" s="91"/>
      <c r="H187" s="91">
        <f t="shared" si="31"/>
        <v>160</v>
      </c>
      <c r="I187" s="108" t="s">
        <v>314</v>
      </c>
      <c r="J187" s="107">
        <v>8</v>
      </c>
      <c r="K187" s="107">
        <v>200000</v>
      </c>
      <c r="L187" s="98"/>
    </row>
    <row r="188" s="13" customFormat="1" ht="21.75" customHeight="1" spans="2:12">
      <c r="B188" s="88"/>
      <c r="C188" s="104" t="s">
        <v>914</v>
      </c>
      <c r="D188" s="90">
        <f t="shared" si="30"/>
        <v>35.4</v>
      </c>
      <c r="E188" s="90"/>
      <c r="F188" s="90"/>
      <c r="G188" s="91"/>
      <c r="H188" s="91">
        <f t="shared" si="31"/>
        <v>35.4</v>
      </c>
      <c r="I188" s="107" t="s">
        <v>820</v>
      </c>
      <c r="J188" s="107">
        <v>11.8</v>
      </c>
      <c r="K188" s="107">
        <v>30000</v>
      </c>
      <c r="L188" s="98"/>
    </row>
    <row r="189" s="13" customFormat="1" ht="21.75" customHeight="1" spans="2:12">
      <c r="B189" s="88"/>
      <c r="C189" s="104" t="s">
        <v>915</v>
      </c>
      <c r="D189" s="90">
        <f t="shared" si="30"/>
        <v>70.8</v>
      </c>
      <c r="E189" s="90"/>
      <c r="F189" s="90"/>
      <c r="G189" s="91"/>
      <c r="H189" s="91">
        <f t="shared" si="31"/>
        <v>70.8</v>
      </c>
      <c r="I189" s="108" t="s">
        <v>26</v>
      </c>
      <c r="J189" s="107">
        <v>236</v>
      </c>
      <c r="K189" s="107">
        <v>3000</v>
      </c>
      <c r="L189" s="98"/>
    </row>
    <row r="190" s="13" customFormat="1" ht="21.75" customHeight="1" spans="2:12">
      <c r="B190" s="88" t="s">
        <v>61</v>
      </c>
      <c r="C190" s="103" t="s">
        <v>918</v>
      </c>
      <c r="D190" s="90"/>
      <c r="E190" s="90"/>
      <c r="F190" s="90"/>
      <c r="G190" s="91"/>
      <c r="H190" s="91"/>
      <c r="I190" s="108"/>
      <c r="J190" s="107"/>
      <c r="K190" s="107"/>
      <c r="L190" s="98"/>
    </row>
    <row r="191" s="13" customFormat="1" ht="21.75" customHeight="1" spans="2:13">
      <c r="B191" s="88"/>
      <c r="C191" s="104" t="s">
        <v>1169</v>
      </c>
      <c r="D191" s="90">
        <v>4</v>
      </c>
      <c r="E191" s="90">
        <v>18</v>
      </c>
      <c r="F191" s="90">
        <f>E191*0.4</f>
        <v>7.2</v>
      </c>
      <c r="G191" s="91"/>
      <c r="H191" s="91">
        <f>SUM(D191:G191)</f>
        <v>29.2</v>
      </c>
      <c r="I191" s="108" t="s">
        <v>863</v>
      </c>
      <c r="J191" s="107">
        <v>1</v>
      </c>
      <c r="K191" s="107"/>
      <c r="L191" s="98"/>
      <c r="M191" s="109" t="s">
        <v>1195</v>
      </c>
    </row>
    <row r="192" s="12" customFormat="1" ht="21.75" customHeight="1" spans="2:12">
      <c r="B192" s="31" t="s">
        <v>962</v>
      </c>
      <c r="C192" s="106" t="s">
        <v>1196</v>
      </c>
      <c r="D192" s="39"/>
      <c r="E192" s="39"/>
      <c r="F192" s="39"/>
      <c r="G192" s="40"/>
      <c r="H192" s="40"/>
      <c r="I192" s="71"/>
      <c r="J192" s="71"/>
      <c r="K192" s="71"/>
      <c r="L192" s="68"/>
    </row>
    <row r="193" s="14" customFormat="1" ht="21.75" customHeight="1" spans="2:12">
      <c r="B193" s="110">
        <v>1</v>
      </c>
      <c r="C193" s="111" t="s">
        <v>1197</v>
      </c>
      <c r="D193" s="39"/>
      <c r="E193" s="39"/>
      <c r="F193" s="39"/>
      <c r="G193" s="40"/>
      <c r="H193" s="40"/>
      <c r="I193" s="64" t="s">
        <v>964</v>
      </c>
      <c r="J193" s="64">
        <v>20000</v>
      </c>
      <c r="K193" s="117"/>
      <c r="L193" s="118" t="s">
        <v>1198</v>
      </c>
    </row>
    <row r="194" s="14" customFormat="1" ht="21.75" customHeight="1" spans="2:12">
      <c r="B194" s="112">
        <v>1.1</v>
      </c>
      <c r="C194" s="113" t="s">
        <v>965</v>
      </c>
      <c r="D194" s="39"/>
      <c r="E194" s="39"/>
      <c r="F194" s="39"/>
      <c r="G194" s="40"/>
      <c r="H194" s="40"/>
      <c r="I194" s="64"/>
      <c r="J194" s="64"/>
      <c r="K194" s="117"/>
      <c r="L194" s="118"/>
    </row>
    <row r="195" s="14" customFormat="1" ht="21.75" customHeight="1" spans="2:12">
      <c r="B195" s="112"/>
      <c r="C195" s="113" t="s">
        <v>967</v>
      </c>
      <c r="D195" s="39">
        <v>50</v>
      </c>
      <c r="E195" s="39"/>
      <c r="F195" s="39"/>
      <c r="G195" s="40"/>
      <c r="H195" s="40">
        <f>SUM(D195:G195)</f>
        <v>50</v>
      </c>
      <c r="I195" s="81" t="s">
        <v>841</v>
      </c>
      <c r="J195" s="64">
        <v>1</v>
      </c>
      <c r="K195" s="117"/>
      <c r="L195" s="118"/>
    </row>
    <row r="196" s="14" customFormat="1" ht="21.75" customHeight="1" spans="2:12">
      <c r="B196" s="112">
        <v>1.2</v>
      </c>
      <c r="C196" s="113" t="s">
        <v>41</v>
      </c>
      <c r="D196" s="39"/>
      <c r="E196" s="39">
        <v>46.05</v>
      </c>
      <c r="F196" s="39">
        <v>13.81</v>
      </c>
      <c r="G196" s="40"/>
      <c r="H196" s="40">
        <f t="shared" ref="H196:H209" si="32">SUM(D196:G196)</f>
        <v>59.86</v>
      </c>
      <c r="I196" s="64"/>
      <c r="J196" s="64"/>
      <c r="K196" s="117"/>
      <c r="L196" s="118"/>
    </row>
    <row r="197" s="14" customFormat="1" ht="21.75" customHeight="1" spans="2:12">
      <c r="B197" s="112">
        <v>1.3</v>
      </c>
      <c r="C197" s="113" t="s">
        <v>46</v>
      </c>
      <c r="D197" s="39"/>
      <c r="E197" s="39">
        <v>17.05</v>
      </c>
      <c r="F197" s="39">
        <v>3.41</v>
      </c>
      <c r="G197" s="40"/>
      <c r="H197" s="40">
        <f t="shared" si="32"/>
        <v>20.46</v>
      </c>
      <c r="I197" s="64"/>
      <c r="J197" s="64"/>
      <c r="K197" s="117"/>
      <c r="L197" s="118"/>
    </row>
    <row r="198" s="14" customFormat="1" ht="21.75" customHeight="1" spans="2:12">
      <c r="B198" s="112">
        <v>1.4</v>
      </c>
      <c r="C198" s="113" t="s">
        <v>974</v>
      </c>
      <c r="D198" s="39">
        <v>591.36</v>
      </c>
      <c r="E198" s="39">
        <v>1064.6</v>
      </c>
      <c r="F198" s="39">
        <v>150.19</v>
      </c>
      <c r="G198" s="40"/>
      <c r="H198" s="40">
        <f t="shared" si="32"/>
        <v>1806.15</v>
      </c>
      <c r="I198" s="64" t="s">
        <v>42</v>
      </c>
      <c r="J198" s="64">
        <v>11827.2</v>
      </c>
      <c r="K198" s="117">
        <v>500</v>
      </c>
      <c r="L198" s="118"/>
    </row>
    <row r="199" s="14" customFormat="1" ht="21.75" customHeight="1" spans="2:12">
      <c r="B199" s="112">
        <v>1.5</v>
      </c>
      <c r="C199" s="113" t="s">
        <v>975</v>
      </c>
      <c r="D199" s="39">
        <v>195.88</v>
      </c>
      <c r="E199" s="39">
        <v>123.97</v>
      </c>
      <c r="F199" s="39">
        <v>24.794</v>
      </c>
      <c r="G199" s="40"/>
      <c r="H199" s="40">
        <f t="shared" si="32"/>
        <v>344.644</v>
      </c>
      <c r="I199" s="64" t="s">
        <v>42</v>
      </c>
      <c r="J199" s="64">
        <v>3695.86</v>
      </c>
      <c r="K199" s="117">
        <v>530</v>
      </c>
      <c r="L199" s="118"/>
    </row>
    <row r="200" s="14" customFormat="1" ht="21.75" customHeight="1" spans="2:12">
      <c r="B200" s="112">
        <v>1.6</v>
      </c>
      <c r="C200" s="113" t="s">
        <v>56</v>
      </c>
      <c r="D200" s="39">
        <v>170</v>
      </c>
      <c r="E200" s="39">
        <v>158.28</v>
      </c>
      <c r="F200" s="39">
        <v>31.66</v>
      </c>
      <c r="G200" s="40"/>
      <c r="H200" s="40">
        <f t="shared" si="32"/>
        <v>359.94</v>
      </c>
      <c r="I200" s="64" t="s">
        <v>42</v>
      </c>
      <c r="J200" s="64">
        <v>2000</v>
      </c>
      <c r="K200" s="117">
        <v>850</v>
      </c>
      <c r="L200" s="118"/>
    </row>
    <row r="201" s="14" customFormat="1" ht="21.75" customHeight="1" spans="2:12">
      <c r="B201" s="112">
        <v>1.7</v>
      </c>
      <c r="C201" s="113" t="s">
        <v>60</v>
      </c>
      <c r="D201" s="39"/>
      <c r="E201" s="39">
        <v>2.15</v>
      </c>
      <c r="F201" s="39">
        <v>0.43</v>
      </c>
      <c r="G201" s="40"/>
      <c r="H201" s="40">
        <f t="shared" si="32"/>
        <v>2.58</v>
      </c>
      <c r="I201" s="64"/>
      <c r="J201" s="64"/>
      <c r="K201" s="117"/>
      <c r="L201" s="118"/>
    </row>
    <row r="202" s="14" customFormat="1" ht="21.75" customHeight="1" spans="2:12">
      <c r="B202" s="112">
        <v>1.8</v>
      </c>
      <c r="C202" s="113" t="s">
        <v>70</v>
      </c>
      <c r="D202" s="39"/>
      <c r="E202" s="39">
        <v>26.51</v>
      </c>
      <c r="F202" s="39">
        <v>5.3</v>
      </c>
      <c r="G202" s="40"/>
      <c r="H202" s="40">
        <f t="shared" si="32"/>
        <v>31.81</v>
      </c>
      <c r="I202" s="64"/>
      <c r="J202" s="64"/>
      <c r="K202" s="117"/>
      <c r="L202" s="118"/>
    </row>
    <row r="203" s="14" customFormat="1" ht="21.75" customHeight="1" spans="2:12">
      <c r="B203" s="112">
        <v>1.9</v>
      </c>
      <c r="C203" s="113" t="s">
        <v>978</v>
      </c>
      <c r="D203" s="39"/>
      <c r="E203" s="39">
        <v>171.23</v>
      </c>
      <c r="F203" s="39">
        <v>34.25</v>
      </c>
      <c r="G203" s="40"/>
      <c r="H203" s="40">
        <f t="shared" si="32"/>
        <v>205.48</v>
      </c>
      <c r="I203" s="64"/>
      <c r="J203" s="64"/>
      <c r="K203" s="117"/>
      <c r="L203" s="118"/>
    </row>
    <row r="204" s="14" customFormat="1" ht="21.75" customHeight="1" spans="2:12">
      <c r="B204" s="114">
        <v>1.1</v>
      </c>
      <c r="C204" s="113" t="s">
        <v>979</v>
      </c>
      <c r="D204" s="39"/>
      <c r="E204" s="39">
        <v>70.01</v>
      </c>
      <c r="F204" s="39">
        <v>14</v>
      </c>
      <c r="G204" s="40"/>
      <c r="H204" s="40">
        <f t="shared" si="32"/>
        <v>84.01</v>
      </c>
      <c r="I204" s="64"/>
      <c r="J204" s="64"/>
      <c r="K204" s="117"/>
      <c r="L204" s="118"/>
    </row>
    <row r="205" s="14" customFormat="1" ht="21.75" customHeight="1" spans="2:12">
      <c r="B205" s="114">
        <v>1.11</v>
      </c>
      <c r="C205" s="113" t="s">
        <v>78</v>
      </c>
      <c r="D205" s="39"/>
      <c r="E205" s="39">
        <v>151.2</v>
      </c>
      <c r="F205" s="39"/>
      <c r="G205" s="40"/>
      <c r="H205" s="40">
        <f t="shared" si="32"/>
        <v>151.2</v>
      </c>
      <c r="I205" s="64"/>
      <c r="J205" s="64"/>
      <c r="K205" s="117"/>
      <c r="L205" s="118"/>
    </row>
    <row r="206" s="14" customFormat="1" ht="21.75" customHeight="1" spans="2:12">
      <c r="B206" s="114">
        <v>1.12</v>
      </c>
      <c r="C206" s="113" t="s">
        <v>982</v>
      </c>
      <c r="D206" s="39"/>
      <c r="E206" s="39">
        <v>170.28</v>
      </c>
      <c r="F206" s="39">
        <v>93.65</v>
      </c>
      <c r="G206" s="40"/>
      <c r="H206" s="40">
        <f t="shared" si="32"/>
        <v>263.93</v>
      </c>
      <c r="I206" s="64"/>
      <c r="J206" s="64"/>
      <c r="K206" s="117"/>
      <c r="L206" s="118"/>
    </row>
    <row r="207" s="14" customFormat="1" ht="21.75" customHeight="1" spans="2:12">
      <c r="B207" s="114">
        <v>1.13</v>
      </c>
      <c r="C207" s="113" t="s">
        <v>983</v>
      </c>
      <c r="D207" s="39"/>
      <c r="E207" s="39">
        <v>66.88</v>
      </c>
      <c r="F207" s="39">
        <v>10.03</v>
      </c>
      <c r="G207" s="40"/>
      <c r="H207" s="40">
        <f t="shared" si="32"/>
        <v>76.91</v>
      </c>
      <c r="I207" s="64"/>
      <c r="J207" s="64"/>
      <c r="K207" s="117"/>
      <c r="L207" s="118"/>
    </row>
    <row r="208" s="14" customFormat="1" ht="21.75" customHeight="1" spans="2:12">
      <c r="B208" s="114">
        <v>1.14</v>
      </c>
      <c r="C208" s="113" t="s">
        <v>984</v>
      </c>
      <c r="D208" s="39"/>
      <c r="E208" s="39">
        <v>66.66</v>
      </c>
      <c r="F208" s="39">
        <v>10</v>
      </c>
      <c r="G208" s="40"/>
      <c r="H208" s="40">
        <f t="shared" si="32"/>
        <v>76.66</v>
      </c>
      <c r="I208" s="64"/>
      <c r="J208" s="64"/>
      <c r="K208" s="117"/>
      <c r="L208" s="118"/>
    </row>
    <row r="209" s="14" customFormat="1" ht="21.75" customHeight="1" spans="2:12">
      <c r="B209" s="114">
        <v>1.15</v>
      </c>
      <c r="C209" s="113" t="s">
        <v>90</v>
      </c>
      <c r="D209" s="39"/>
      <c r="E209" s="39"/>
      <c r="F209" s="39"/>
      <c r="G209" s="40">
        <v>21.35</v>
      </c>
      <c r="H209" s="40">
        <f t="shared" si="32"/>
        <v>21.35</v>
      </c>
      <c r="I209" s="64"/>
      <c r="J209" s="64"/>
      <c r="K209" s="117"/>
      <c r="L209" s="118"/>
    </row>
    <row r="210" s="14" customFormat="1" ht="21.75" customHeight="1" spans="2:12">
      <c r="B210" s="31" t="s">
        <v>40</v>
      </c>
      <c r="C210" s="111" t="s">
        <v>1199</v>
      </c>
      <c r="D210" s="115"/>
      <c r="E210" s="115"/>
      <c r="F210" s="115"/>
      <c r="G210" s="55"/>
      <c r="H210" s="55"/>
      <c r="I210" s="119" t="s">
        <v>964</v>
      </c>
      <c r="J210" s="119">
        <v>50000</v>
      </c>
      <c r="K210" s="120"/>
      <c r="L210" s="118" t="s">
        <v>1200</v>
      </c>
    </row>
    <row r="211" s="14" customFormat="1" ht="21.75" customHeight="1" spans="2:12">
      <c r="B211" s="116" t="s">
        <v>1201</v>
      </c>
      <c r="C211" s="113" t="s">
        <v>1202</v>
      </c>
      <c r="D211" s="39"/>
      <c r="E211" s="39"/>
      <c r="F211" s="39"/>
      <c r="G211" s="40"/>
      <c r="H211" s="40"/>
      <c r="I211" s="64"/>
      <c r="J211" s="64"/>
      <c r="K211" s="117"/>
      <c r="L211" s="118"/>
    </row>
    <row r="212" s="14" customFormat="1" ht="21.75" customHeight="1" spans="2:12">
      <c r="B212" s="116"/>
      <c r="C212" s="113" t="s">
        <v>1203</v>
      </c>
      <c r="D212" s="39">
        <v>1031.13</v>
      </c>
      <c r="E212" s="39"/>
      <c r="F212" s="39"/>
      <c r="G212" s="40"/>
      <c r="H212" s="40">
        <v>1031.13</v>
      </c>
      <c r="I212" s="64" t="s">
        <v>42</v>
      </c>
      <c r="J212" s="64">
        <v>224157.9</v>
      </c>
      <c r="K212" s="117">
        <v>46</v>
      </c>
      <c r="L212" s="118"/>
    </row>
    <row r="213" s="14" customFormat="1" ht="21.75" customHeight="1" spans="2:12">
      <c r="B213" s="116"/>
      <c r="C213" s="113" t="s">
        <v>1204</v>
      </c>
      <c r="D213" s="39">
        <v>389.09</v>
      </c>
      <c r="E213" s="39"/>
      <c r="F213" s="39"/>
      <c r="G213" s="40"/>
      <c r="H213" s="40">
        <v>389.09</v>
      </c>
      <c r="I213" s="64" t="s">
        <v>42</v>
      </c>
      <c r="J213" s="64">
        <v>59859.65</v>
      </c>
      <c r="K213" s="117">
        <v>65</v>
      </c>
      <c r="L213" s="118"/>
    </row>
    <row r="214" s="14" customFormat="1" ht="21.75" customHeight="1" spans="2:12">
      <c r="B214" s="116"/>
      <c r="C214" s="113" t="s">
        <v>1205</v>
      </c>
      <c r="D214" s="39">
        <v>1051.1</v>
      </c>
      <c r="E214" s="39"/>
      <c r="F214" s="39"/>
      <c r="G214" s="40"/>
      <c r="H214" s="40">
        <v>1051.1</v>
      </c>
      <c r="I214" s="64" t="s">
        <v>283</v>
      </c>
      <c r="J214" s="64">
        <v>21022</v>
      </c>
      <c r="K214" s="117">
        <v>500</v>
      </c>
      <c r="L214" s="118"/>
    </row>
    <row r="215" s="14" customFormat="1" ht="21.75" customHeight="1" spans="2:12">
      <c r="B215" s="116"/>
      <c r="C215" s="113" t="s">
        <v>34</v>
      </c>
      <c r="D215" s="39">
        <v>200</v>
      </c>
      <c r="E215" s="39"/>
      <c r="F215" s="39"/>
      <c r="G215" s="40"/>
      <c r="H215" s="40">
        <v>200</v>
      </c>
      <c r="I215" s="81" t="s">
        <v>841</v>
      </c>
      <c r="J215" s="64">
        <v>1</v>
      </c>
      <c r="K215" s="117"/>
      <c r="L215" s="118" t="s">
        <v>125</v>
      </c>
    </row>
    <row r="216" s="14" customFormat="1" ht="21.75" customHeight="1" spans="2:12">
      <c r="B216" s="116"/>
      <c r="C216" s="113" t="s">
        <v>72</v>
      </c>
      <c r="D216" s="39">
        <v>988</v>
      </c>
      <c r="E216" s="39"/>
      <c r="F216" s="39"/>
      <c r="G216" s="40"/>
      <c r="H216" s="40">
        <v>988</v>
      </c>
      <c r="I216" s="64" t="s">
        <v>283</v>
      </c>
      <c r="J216" s="64">
        <v>3800</v>
      </c>
      <c r="K216" s="117">
        <v>2600</v>
      </c>
      <c r="L216" s="118"/>
    </row>
    <row r="217" s="14" customFormat="1" ht="21.75" customHeight="1" spans="2:12">
      <c r="B217" s="116"/>
      <c r="C217" s="113" t="s">
        <v>1206</v>
      </c>
      <c r="D217" s="39">
        <v>24.43</v>
      </c>
      <c r="E217" s="39"/>
      <c r="F217" s="39"/>
      <c r="G217" s="40"/>
      <c r="H217" s="40">
        <v>24.43</v>
      </c>
      <c r="I217" s="64" t="s">
        <v>283</v>
      </c>
      <c r="J217" s="64">
        <v>84.24</v>
      </c>
      <c r="K217" s="117">
        <v>2900</v>
      </c>
      <c r="L217" s="118"/>
    </row>
    <row r="218" s="14" customFormat="1" ht="21.75" customHeight="1" spans="2:12">
      <c r="B218" s="116"/>
      <c r="C218" s="113" t="s">
        <v>969</v>
      </c>
      <c r="D218" s="39">
        <v>6</v>
      </c>
      <c r="E218" s="39"/>
      <c r="F218" s="39"/>
      <c r="G218" s="40"/>
      <c r="H218" s="40">
        <v>6</v>
      </c>
      <c r="I218" s="81" t="s">
        <v>841</v>
      </c>
      <c r="J218" s="64">
        <v>1</v>
      </c>
      <c r="K218" s="117"/>
      <c r="L218" s="118"/>
    </row>
    <row r="219" s="14" customFormat="1" ht="21.75" customHeight="1" spans="2:12">
      <c r="B219" s="116"/>
      <c r="C219" s="113" t="s">
        <v>28</v>
      </c>
      <c r="D219" s="39">
        <v>49</v>
      </c>
      <c r="E219" s="39"/>
      <c r="F219" s="39"/>
      <c r="G219" s="40"/>
      <c r="H219" s="40">
        <v>49</v>
      </c>
      <c r="I219" s="64" t="s">
        <v>29</v>
      </c>
      <c r="J219" s="64">
        <v>1400</v>
      </c>
      <c r="K219" s="117">
        <v>350</v>
      </c>
      <c r="L219" s="118"/>
    </row>
    <row r="220" s="14" customFormat="1" ht="21.75" customHeight="1" spans="2:12">
      <c r="B220" s="116" t="s">
        <v>1207</v>
      </c>
      <c r="C220" s="113" t="s">
        <v>1208</v>
      </c>
      <c r="D220" s="39">
        <v>10087.11</v>
      </c>
      <c r="E220" s="39"/>
      <c r="F220" s="39"/>
      <c r="G220" s="40"/>
      <c r="H220" s="40">
        <v>10087.11</v>
      </c>
      <c r="I220" s="64" t="s">
        <v>42</v>
      </c>
      <c r="J220" s="64">
        <v>186798.25</v>
      </c>
      <c r="K220" s="117">
        <v>540</v>
      </c>
      <c r="L220" s="118"/>
    </row>
    <row r="221" s="14" customFormat="1" ht="21.75" customHeight="1" spans="2:12">
      <c r="B221" s="116" t="s">
        <v>1209</v>
      </c>
      <c r="C221" s="113" t="s">
        <v>147</v>
      </c>
      <c r="D221" s="39"/>
      <c r="E221" s="39"/>
      <c r="F221" s="39"/>
      <c r="G221" s="40"/>
      <c r="H221" s="40"/>
      <c r="I221" s="64"/>
      <c r="J221" s="64"/>
      <c r="K221" s="117"/>
      <c r="L221" s="118"/>
    </row>
    <row r="222" s="14" customFormat="1" ht="21.75" customHeight="1" spans="2:12">
      <c r="B222" s="116"/>
      <c r="C222" s="113" t="s">
        <v>41</v>
      </c>
      <c r="D222" s="39"/>
      <c r="E222" s="39">
        <v>283.62</v>
      </c>
      <c r="F222" s="39">
        <v>70.9</v>
      </c>
      <c r="G222" s="40"/>
      <c r="H222" s="40">
        <v>354.52</v>
      </c>
      <c r="I222" s="64"/>
      <c r="J222" s="64"/>
      <c r="K222" s="117"/>
      <c r="L222" s="118"/>
    </row>
    <row r="223" s="14" customFormat="1" ht="21.75" customHeight="1" spans="2:12">
      <c r="B223" s="116"/>
      <c r="C223" s="113" t="s">
        <v>972</v>
      </c>
      <c r="D223" s="39"/>
      <c r="E223" s="39">
        <v>65.9</v>
      </c>
      <c r="F223" s="39">
        <v>16.47</v>
      </c>
      <c r="G223" s="40"/>
      <c r="H223" s="40">
        <v>82.37</v>
      </c>
      <c r="I223" s="64"/>
      <c r="J223" s="64"/>
      <c r="K223" s="117"/>
      <c r="L223" s="118"/>
    </row>
    <row r="224" s="14" customFormat="1" ht="21.75" customHeight="1" spans="2:12">
      <c r="B224" s="116"/>
      <c r="C224" s="113" t="s">
        <v>973</v>
      </c>
      <c r="D224" s="39"/>
      <c r="E224" s="39">
        <v>67.8</v>
      </c>
      <c r="F224" s="39">
        <v>16.95</v>
      </c>
      <c r="G224" s="40"/>
      <c r="H224" s="40">
        <v>84.75</v>
      </c>
      <c r="I224" s="64"/>
      <c r="J224" s="64"/>
      <c r="K224" s="117"/>
      <c r="L224" s="118"/>
    </row>
    <row r="225" s="14" customFormat="1" ht="21.75" customHeight="1" spans="2:12">
      <c r="B225" s="116"/>
      <c r="C225" s="113" t="s">
        <v>1210</v>
      </c>
      <c r="D225" s="39"/>
      <c r="E225" s="39">
        <v>161</v>
      </c>
      <c r="F225" s="39">
        <v>40.25</v>
      </c>
      <c r="G225" s="40"/>
      <c r="H225" s="40">
        <v>201.25</v>
      </c>
      <c r="I225" s="64"/>
      <c r="J225" s="64"/>
      <c r="K225" s="117"/>
      <c r="L225" s="118"/>
    </row>
    <row r="226" s="14" customFormat="1" ht="21.75" customHeight="1" spans="2:12">
      <c r="B226" s="116"/>
      <c r="C226" s="113" t="s">
        <v>1211</v>
      </c>
      <c r="D226" s="39"/>
      <c r="E226" s="39">
        <v>308.43</v>
      </c>
      <c r="F226" s="39">
        <v>77.11</v>
      </c>
      <c r="G226" s="40"/>
      <c r="H226" s="40">
        <v>385.54</v>
      </c>
      <c r="I226" s="64"/>
      <c r="J226" s="64"/>
      <c r="K226" s="117"/>
      <c r="L226" s="118"/>
    </row>
    <row r="227" s="14" customFormat="1" ht="21.75" customHeight="1" spans="2:12">
      <c r="B227" s="116"/>
      <c r="C227" s="113" t="s">
        <v>1212</v>
      </c>
      <c r="D227" s="39"/>
      <c r="E227" s="39">
        <v>3032.35</v>
      </c>
      <c r="F227" s="39">
        <v>416.71</v>
      </c>
      <c r="G227" s="40"/>
      <c r="H227" s="40">
        <v>3449.06</v>
      </c>
      <c r="I227" s="64"/>
      <c r="J227" s="64"/>
      <c r="K227" s="117"/>
      <c r="L227" s="118"/>
    </row>
    <row r="228" s="14" customFormat="1" ht="21.75" customHeight="1" spans="2:12">
      <c r="B228" s="116"/>
      <c r="C228" s="113" t="s">
        <v>1213</v>
      </c>
      <c r="D228" s="39"/>
      <c r="E228" s="39">
        <v>310.73</v>
      </c>
      <c r="F228" s="39">
        <v>77.68</v>
      </c>
      <c r="G228" s="40"/>
      <c r="H228" s="40">
        <v>388.41</v>
      </c>
      <c r="I228" s="64"/>
      <c r="J228" s="64"/>
      <c r="K228" s="117"/>
      <c r="L228" s="118"/>
    </row>
    <row r="229" s="14" customFormat="1" ht="21.75" customHeight="1" spans="2:12">
      <c r="B229" s="116"/>
      <c r="C229" s="113" t="s">
        <v>56</v>
      </c>
      <c r="D229" s="39"/>
      <c r="E229" s="39">
        <v>193.98</v>
      </c>
      <c r="F229" s="39">
        <v>48.5</v>
      </c>
      <c r="G229" s="40"/>
      <c r="H229" s="40">
        <v>242.48</v>
      </c>
      <c r="I229" s="64"/>
      <c r="J229" s="64"/>
      <c r="K229" s="117"/>
      <c r="L229" s="118"/>
    </row>
    <row r="230" s="14" customFormat="1" ht="21.75" customHeight="1" spans="2:12">
      <c r="B230" s="116"/>
      <c r="C230" s="113" t="s">
        <v>1214</v>
      </c>
      <c r="D230" s="39"/>
      <c r="E230" s="39">
        <v>151.69</v>
      </c>
      <c r="F230" s="39">
        <v>37.92</v>
      </c>
      <c r="G230" s="40"/>
      <c r="H230" s="40">
        <v>189.61</v>
      </c>
      <c r="I230" s="64"/>
      <c r="J230" s="64"/>
      <c r="K230" s="117"/>
      <c r="L230" s="118"/>
    </row>
    <row r="231" s="14" customFormat="1" ht="21.75" customHeight="1" spans="2:12">
      <c r="B231" s="116"/>
      <c r="C231" s="113" t="s">
        <v>1215</v>
      </c>
      <c r="D231" s="39"/>
      <c r="E231" s="39">
        <v>3.68</v>
      </c>
      <c r="F231" s="39">
        <v>0.92</v>
      </c>
      <c r="G231" s="40"/>
      <c r="H231" s="40">
        <v>4.6</v>
      </c>
      <c r="I231" s="64"/>
      <c r="J231" s="64"/>
      <c r="K231" s="117"/>
      <c r="L231" s="118"/>
    </row>
    <row r="232" s="14" customFormat="1" ht="21.75" customHeight="1" spans="2:12">
      <c r="B232" s="116"/>
      <c r="C232" s="113" t="s">
        <v>1216</v>
      </c>
      <c r="D232" s="39"/>
      <c r="E232" s="39">
        <v>38.18</v>
      </c>
      <c r="F232" s="39">
        <v>9.55</v>
      </c>
      <c r="G232" s="40"/>
      <c r="H232" s="40">
        <v>47.73</v>
      </c>
      <c r="I232" s="64"/>
      <c r="J232" s="64"/>
      <c r="K232" s="117"/>
      <c r="L232" s="118"/>
    </row>
    <row r="233" s="14" customFormat="1" ht="21.75" customHeight="1" spans="2:12">
      <c r="B233" s="116"/>
      <c r="C233" s="113" t="s">
        <v>60</v>
      </c>
      <c r="D233" s="39"/>
      <c r="E233" s="39">
        <v>9.83</v>
      </c>
      <c r="F233" s="39">
        <v>2.46</v>
      </c>
      <c r="G233" s="40"/>
      <c r="H233" s="40">
        <v>12.29</v>
      </c>
      <c r="I233" s="64"/>
      <c r="J233" s="64"/>
      <c r="K233" s="117"/>
      <c r="L233" s="118"/>
    </row>
    <row r="234" s="14" customFormat="1" ht="21.75" customHeight="1" spans="2:12">
      <c r="B234" s="116"/>
      <c r="C234" s="113" t="s">
        <v>1217</v>
      </c>
      <c r="D234" s="39"/>
      <c r="E234" s="39">
        <v>116.41</v>
      </c>
      <c r="F234" s="39">
        <v>29.1</v>
      </c>
      <c r="G234" s="40"/>
      <c r="H234" s="40">
        <v>145.51</v>
      </c>
      <c r="I234" s="64"/>
      <c r="J234" s="64"/>
      <c r="K234" s="117"/>
      <c r="L234" s="118"/>
    </row>
    <row r="235" s="14" customFormat="1" ht="21.75" customHeight="1" spans="2:12">
      <c r="B235" s="116"/>
      <c r="C235" s="113" t="s">
        <v>1218</v>
      </c>
      <c r="D235" s="39"/>
      <c r="E235" s="39">
        <v>48.42</v>
      </c>
      <c r="F235" s="39">
        <v>12.1</v>
      </c>
      <c r="G235" s="40"/>
      <c r="H235" s="40">
        <v>60.52</v>
      </c>
      <c r="I235" s="64"/>
      <c r="J235" s="64"/>
      <c r="K235" s="117"/>
      <c r="L235" s="118"/>
    </row>
    <row r="236" s="14" customFormat="1" ht="21.75" customHeight="1" spans="2:12">
      <c r="B236" s="116"/>
      <c r="C236" s="113" t="s">
        <v>978</v>
      </c>
      <c r="D236" s="39"/>
      <c r="E236" s="39">
        <v>458.31</v>
      </c>
      <c r="F236" s="39">
        <v>114.58</v>
      </c>
      <c r="G236" s="40"/>
      <c r="H236" s="40">
        <v>572.89</v>
      </c>
      <c r="I236" s="64"/>
      <c r="J236" s="64"/>
      <c r="K236" s="117"/>
      <c r="L236" s="118"/>
    </row>
    <row r="237" s="14" customFormat="1" ht="21.75" customHeight="1" spans="2:12">
      <c r="B237" s="116"/>
      <c r="C237" s="113" t="s">
        <v>1219</v>
      </c>
      <c r="D237" s="39"/>
      <c r="E237" s="39">
        <v>178.31</v>
      </c>
      <c r="F237" s="39">
        <v>44.58</v>
      </c>
      <c r="G237" s="40"/>
      <c r="H237" s="40">
        <v>222.88</v>
      </c>
      <c r="I237" s="64"/>
      <c r="J237" s="64"/>
      <c r="K237" s="117"/>
      <c r="L237" s="118"/>
    </row>
    <row r="238" s="14" customFormat="1" ht="21.75" customHeight="1" spans="2:12">
      <c r="B238" s="116"/>
      <c r="C238" s="113" t="s">
        <v>1220</v>
      </c>
      <c r="D238" s="39"/>
      <c r="E238" s="39">
        <v>384.19</v>
      </c>
      <c r="F238" s="39">
        <v>96.05</v>
      </c>
      <c r="G238" s="40"/>
      <c r="H238" s="40">
        <v>480.24</v>
      </c>
      <c r="I238" s="64"/>
      <c r="J238" s="64"/>
      <c r="K238" s="117"/>
      <c r="L238" s="118"/>
    </row>
    <row r="239" s="14" customFormat="1" ht="21.75" customHeight="1" spans="2:12">
      <c r="B239" s="116"/>
      <c r="C239" s="113" t="s">
        <v>1221</v>
      </c>
      <c r="D239" s="39"/>
      <c r="E239" s="39">
        <v>1428</v>
      </c>
      <c r="F239" s="39"/>
      <c r="G239" s="40"/>
      <c r="H239" s="40">
        <v>1428</v>
      </c>
      <c r="I239" s="64"/>
      <c r="J239" s="64"/>
      <c r="K239" s="117"/>
      <c r="L239" s="118"/>
    </row>
    <row r="240" s="14" customFormat="1" ht="21.75" customHeight="1" spans="2:12">
      <c r="B240" s="116" t="s">
        <v>1222</v>
      </c>
      <c r="C240" s="113" t="s">
        <v>1223</v>
      </c>
      <c r="D240" s="39"/>
      <c r="E240" s="39">
        <v>9.2</v>
      </c>
      <c r="F240" s="39">
        <v>2.3</v>
      </c>
      <c r="G240" s="40"/>
      <c r="H240" s="40">
        <v>11.5</v>
      </c>
      <c r="I240" s="64"/>
      <c r="J240" s="64"/>
      <c r="K240" s="117"/>
      <c r="L240" s="118"/>
    </row>
    <row r="241" s="14" customFormat="1" ht="21.75" customHeight="1" spans="2:12">
      <c r="B241" s="116" t="s">
        <v>1224</v>
      </c>
      <c r="C241" s="113" t="s">
        <v>1225</v>
      </c>
      <c r="D241" s="39"/>
      <c r="E241" s="39"/>
      <c r="F241" s="39">
        <v>270</v>
      </c>
      <c r="G241" s="40"/>
      <c r="H241" s="40">
        <v>270</v>
      </c>
      <c r="I241" s="64"/>
      <c r="J241" s="64"/>
      <c r="K241" s="117"/>
      <c r="L241" s="118"/>
    </row>
    <row r="242" s="14" customFormat="1" ht="21.75" customHeight="1" spans="2:12">
      <c r="B242" s="116" t="s">
        <v>1226</v>
      </c>
      <c r="C242" s="113" t="s">
        <v>1227</v>
      </c>
      <c r="D242" s="39"/>
      <c r="E242" s="39"/>
      <c r="F242" s="39">
        <v>300</v>
      </c>
      <c r="G242" s="40"/>
      <c r="H242" s="40">
        <v>300</v>
      </c>
      <c r="I242" s="64"/>
      <c r="J242" s="64"/>
      <c r="K242" s="117"/>
      <c r="L242" s="118"/>
    </row>
    <row r="243" s="14" customFormat="1" ht="21.75" customHeight="1" spans="2:12">
      <c r="B243" s="116" t="s">
        <v>1228</v>
      </c>
      <c r="C243" s="113" t="s">
        <v>983</v>
      </c>
      <c r="D243" s="39"/>
      <c r="E243" s="39">
        <v>843.15</v>
      </c>
      <c r="F243" s="39">
        <v>67.45</v>
      </c>
      <c r="G243" s="40"/>
      <c r="H243" s="40">
        <v>910.6</v>
      </c>
      <c r="I243" s="64"/>
      <c r="J243" s="64"/>
      <c r="K243" s="117"/>
      <c r="L243" s="118"/>
    </row>
    <row r="244" s="14" customFormat="1" ht="21.75" customHeight="1" spans="2:12">
      <c r="B244" s="116" t="s">
        <v>1229</v>
      </c>
      <c r="C244" s="113" t="s">
        <v>984</v>
      </c>
      <c r="D244" s="39"/>
      <c r="E244" s="39">
        <v>305.14</v>
      </c>
      <c r="F244" s="39">
        <v>30.51</v>
      </c>
      <c r="G244" s="40"/>
      <c r="H244" s="40">
        <v>335.65</v>
      </c>
      <c r="I244" s="64"/>
      <c r="J244" s="64"/>
      <c r="K244" s="117"/>
      <c r="L244" s="118"/>
    </row>
    <row r="245" s="14" customFormat="1" ht="21.75" customHeight="1" spans="2:12">
      <c r="B245" s="116" t="s">
        <v>1230</v>
      </c>
      <c r="C245" s="113" t="s">
        <v>982</v>
      </c>
      <c r="D245" s="39"/>
      <c r="E245" s="39">
        <v>597.63</v>
      </c>
      <c r="F245" s="39">
        <v>358.58</v>
      </c>
      <c r="G245" s="40"/>
      <c r="H245" s="40">
        <v>956.21</v>
      </c>
      <c r="I245" s="64"/>
      <c r="J245" s="64"/>
      <c r="K245" s="117"/>
      <c r="L245" s="118"/>
    </row>
    <row r="246" s="14" customFormat="1" ht="21.75" customHeight="1" spans="2:12">
      <c r="B246" s="116" t="s">
        <v>1231</v>
      </c>
      <c r="C246" s="113" t="s">
        <v>987</v>
      </c>
      <c r="D246" s="39"/>
      <c r="E246" s="39">
        <v>34</v>
      </c>
      <c r="F246" s="39"/>
      <c r="G246" s="40"/>
      <c r="H246" s="40">
        <v>34</v>
      </c>
      <c r="I246" s="64"/>
      <c r="J246" s="64"/>
      <c r="K246" s="117"/>
      <c r="L246" s="118"/>
    </row>
    <row r="247" s="14" customFormat="1" ht="21.75" customHeight="1" spans="2:12">
      <c r="B247" s="116" t="s">
        <v>1232</v>
      </c>
      <c r="C247" s="113" t="s">
        <v>86</v>
      </c>
      <c r="D247" s="39"/>
      <c r="E247" s="39">
        <v>38</v>
      </c>
      <c r="F247" s="39"/>
      <c r="G247" s="40"/>
      <c r="H247" s="40">
        <v>38</v>
      </c>
      <c r="I247" s="64"/>
      <c r="J247" s="64"/>
      <c r="K247" s="117"/>
      <c r="L247" s="118"/>
    </row>
    <row r="248" s="14" customFormat="1" ht="21.75" customHeight="1" spans="2:12">
      <c r="B248" s="116" t="s">
        <v>1233</v>
      </c>
      <c r="C248" s="113" t="s">
        <v>989</v>
      </c>
      <c r="D248" s="39"/>
      <c r="E248" s="39">
        <v>60</v>
      </c>
      <c r="F248" s="39"/>
      <c r="G248" s="40"/>
      <c r="H248" s="40">
        <v>60</v>
      </c>
      <c r="I248" s="64"/>
      <c r="J248" s="64"/>
      <c r="K248" s="117"/>
      <c r="L248" s="118"/>
    </row>
    <row r="249" s="14" customFormat="1" ht="21.75" customHeight="1" spans="2:12">
      <c r="B249" s="116" t="s">
        <v>1234</v>
      </c>
      <c r="C249" s="113" t="s">
        <v>1235</v>
      </c>
      <c r="D249" s="39"/>
      <c r="E249" s="39"/>
      <c r="F249" s="39">
        <v>50</v>
      </c>
      <c r="G249" s="40"/>
      <c r="H249" s="40">
        <v>50</v>
      </c>
      <c r="I249" s="81" t="s">
        <v>841</v>
      </c>
      <c r="J249" s="64">
        <v>1</v>
      </c>
      <c r="K249" s="121" t="s">
        <v>125</v>
      </c>
      <c r="L249" s="118"/>
    </row>
    <row r="250" s="14" customFormat="1" ht="21.75" customHeight="1" spans="2:12">
      <c r="B250" s="116" t="s">
        <v>1236</v>
      </c>
      <c r="C250" s="113" t="s">
        <v>1237</v>
      </c>
      <c r="D250" s="39"/>
      <c r="E250" s="39"/>
      <c r="F250" s="39">
        <v>250</v>
      </c>
      <c r="G250" s="40"/>
      <c r="H250" s="40">
        <v>250</v>
      </c>
      <c r="I250" s="81" t="s">
        <v>841</v>
      </c>
      <c r="J250" s="64">
        <v>1</v>
      </c>
      <c r="K250" s="121" t="s">
        <v>125</v>
      </c>
      <c r="L250" s="118"/>
    </row>
    <row r="251" s="14" customFormat="1" ht="21.75" customHeight="1" spans="2:12">
      <c r="B251" s="116" t="s">
        <v>1238</v>
      </c>
      <c r="C251" s="113" t="s">
        <v>1239</v>
      </c>
      <c r="D251" s="39"/>
      <c r="E251" s="39"/>
      <c r="F251" s="39"/>
      <c r="G251" s="40">
        <v>91.28</v>
      </c>
      <c r="H251" s="40">
        <v>91.28</v>
      </c>
      <c r="I251" s="64"/>
      <c r="J251" s="64"/>
      <c r="K251" s="117"/>
      <c r="L251" s="118"/>
    </row>
    <row r="252" s="14" customFormat="1" ht="21.75" customHeight="1" spans="2:12">
      <c r="B252" s="31" t="s">
        <v>45</v>
      </c>
      <c r="C252" s="111" t="s">
        <v>1240</v>
      </c>
      <c r="D252" s="115"/>
      <c r="E252" s="115"/>
      <c r="F252" s="115"/>
      <c r="G252" s="55"/>
      <c r="H252" s="55"/>
      <c r="I252" s="119" t="s">
        <v>964</v>
      </c>
      <c r="J252" s="119">
        <v>50000</v>
      </c>
      <c r="K252" s="120"/>
      <c r="L252" s="118" t="s">
        <v>1200</v>
      </c>
    </row>
    <row r="253" s="14" customFormat="1" ht="21.75" customHeight="1" spans="2:12">
      <c r="B253" s="116" t="s">
        <v>765</v>
      </c>
      <c r="C253" s="113" t="s">
        <v>1202</v>
      </c>
      <c r="D253" s="39"/>
      <c r="E253" s="39"/>
      <c r="F253" s="39"/>
      <c r="G253" s="40"/>
      <c r="H253" s="40"/>
      <c r="I253" s="64"/>
      <c r="J253" s="64"/>
      <c r="K253" s="117"/>
      <c r="L253" s="118"/>
    </row>
    <row r="254" s="14" customFormat="1" ht="21.75" customHeight="1" spans="2:12">
      <c r="B254" s="116"/>
      <c r="C254" s="113" t="s">
        <v>1203</v>
      </c>
      <c r="D254" s="39">
        <v>1029.72</v>
      </c>
      <c r="E254" s="39"/>
      <c r="F254" s="39"/>
      <c r="G254" s="40"/>
      <c r="H254" s="40">
        <v>1029.72</v>
      </c>
      <c r="I254" s="64" t="s">
        <v>42</v>
      </c>
      <c r="J254" s="64">
        <v>223851.38</v>
      </c>
      <c r="K254" s="117">
        <v>46</v>
      </c>
      <c r="L254" s="118"/>
    </row>
    <row r="255" s="14" customFormat="1" ht="21.75" customHeight="1" spans="2:12">
      <c r="B255" s="116"/>
      <c r="C255" s="113" t="s">
        <v>1204</v>
      </c>
      <c r="D255" s="39">
        <v>393.4</v>
      </c>
      <c r="E255" s="39"/>
      <c r="F255" s="39"/>
      <c r="G255" s="40"/>
      <c r="H255" s="40">
        <v>393.4</v>
      </c>
      <c r="I255" s="64" t="s">
        <v>42</v>
      </c>
      <c r="J255" s="64">
        <v>60523.46</v>
      </c>
      <c r="K255" s="117">
        <v>65</v>
      </c>
      <c r="L255" s="118"/>
    </row>
    <row r="256" s="14" customFormat="1" ht="21.75" customHeight="1" spans="2:12">
      <c r="B256" s="116"/>
      <c r="C256" s="113" t="s">
        <v>1205</v>
      </c>
      <c r="D256" s="39">
        <v>1084.5</v>
      </c>
      <c r="E256" s="39"/>
      <c r="F256" s="39"/>
      <c r="G256" s="40"/>
      <c r="H256" s="40">
        <v>1084.5</v>
      </c>
      <c r="I256" s="64" t="s">
        <v>283</v>
      </c>
      <c r="J256" s="64">
        <v>21689.94</v>
      </c>
      <c r="K256" s="117">
        <v>500</v>
      </c>
      <c r="L256" s="118"/>
    </row>
    <row r="257" s="14" customFormat="1" ht="21.75" customHeight="1" spans="2:12">
      <c r="B257" s="116"/>
      <c r="C257" s="113" t="s">
        <v>34</v>
      </c>
      <c r="D257" s="39">
        <v>200</v>
      </c>
      <c r="E257" s="39"/>
      <c r="F257" s="39"/>
      <c r="G257" s="40"/>
      <c r="H257" s="40">
        <v>200</v>
      </c>
      <c r="I257" s="81" t="s">
        <v>841</v>
      </c>
      <c r="J257" s="64">
        <v>1</v>
      </c>
      <c r="K257" s="117"/>
      <c r="L257" s="118" t="s">
        <v>125</v>
      </c>
    </row>
    <row r="258" s="14" customFormat="1" ht="21.75" customHeight="1" spans="2:12">
      <c r="B258" s="116" t="s">
        <v>768</v>
      </c>
      <c r="C258" s="113" t="s">
        <v>1208</v>
      </c>
      <c r="D258" s="39">
        <v>10073.31</v>
      </c>
      <c r="E258" s="39"/>
      <c r="F258" s="39"/>
      <c r="G258" s="40"/>
      <c r="H258" s="40">
        <v>10073.31</v>
      </c>
      <c r="I258" s="64" t="s">
        <v>42</v>
      </c>
      <c r="J258" s="64">
        <v>186542.82</v>
      </c>
      <c r="K258" s="117">
        <v>540</v>
      </c>
      <c r="L258" s="118"/>
    </row>
    <row r="259" s="14" customFormat="1" ht="21.75" customHeight="1" spans="2:12">
      <c r="B259" s="116" t="s">
        <v>1241</v>
      </c>
      <c r="C259" s="113" t="s">
        <v>147</v>
      </c>
      <c r="D259" s="39"/>
      <c r="E259" s="39"/>
      <c r="F259" s="39"/>
      <c r="G259" s="40"/>
      <c r="H259" s="40">
        <v>0</v>
      </c>
      <c r="I259" s="64"/>
      <c r="J259" s="64"/>
      <c r="K259" s="117"/>
      <c r="L259" s="118"/>
    </row>
    <row r="260" s="14" customFormat="1" ht="21.75" customHeight="1" spans="2:12">
      <c r="B260" s="116"/>
      <c r="C260" s="113" t="s">
        <v>41</v>
      </c>
      <c r="D260" s="39"/>
      <c r="E260" s="39">
        <v>283.62</v>
      </c>
      <c r="F260" s="39">
        <v>70.9</v>
      </c>
      <c r="G260" s="40"/>
      <c r="H260" s="40">
        <v>354.52</v>
      </c>
      <c r="I260" s="64"/>
      <c r="J260" s="64"/>
      <c r="K260" s="117"/>
      <c r="L260" s="118"/>
    </row>
    <row r="261" s="14" customFormat="1" ht="21.75" customHeight="1" spans="2:12">
      <c r="B261" s="116"/>
      <c r="C261" s="113" t="s">
        <v>972</v>
      </c>
      <c r="D261" s="39"/>
      <c r="E261" s="39">
        <v>65.9</v>
      </c>
      <c r="F261" s="39">
        <v>16.47</v>
      </c>
      <c r="G261" s="40"/>
      <c r="H261" s="40">
        <v>82.37</v>
      </c>
      <c r="I261" s="64"/>
      <c r="J261" s="64"/>
      <c r="K261" s="117"/>
      <c r="L261" s="118"/>
    </row>
    <row r="262" s="14" customFormat="1" ht="21.75" customHeight="1" spans="2:12">
      <c r="B262" s="116"/>
      <c r="C262" s="113" t="s">
        <v>973</v>
      </c>
      <c r="D262" s="39"/>
      <c r="E262" s="39">
        <v>67.8</v>
      </c>
      <c r="F262" s="39">
        <v>16.95</v>
      </c>
      <c r="G262" s="40"/>
      <c r="H262" s="40">
        <v>84.75</v>
      </c>
      <c r="I262" s="64"/>
      <c r="J262" s="64"/>
      <c r="K262" s="117"/>
      <c r="L262" s="118"/>
    </row>
    <row r="263" s="14" customFormat="1" ht="21.75" customHeight="1" spans="2:12">
      <c r="B263" s="116"/>
      <c r="C263" s="113" t="s">
        <v>1210</v>
      </c>
      <c r="D263" s="39"/>
      <c r="E263" s="39">
        <v>161</v>
      </c>
      <c r="F263" s="39">
        <v>40.25</v>
      </c>
      <c r="G263" s="40"/>
      <c r="H263" s="40">
        <v>201.25</v>
      </c>
      <c r="I263" s="64"/>
      <c r="J263" s="64"/>
      <c r="K263" s="117"/>
      <c r="L263" s="118"/>
    </row>
    <row r="264" s="14" customFormat="1" ht="21.75" customHeight="1" spans="2:12">
      <c r="B264" s="116"/>
      <c r="C264" s="113" t="s">
        <v>1211</v>
      </c>
      <c r="D264" s="39"/>
      <c r="E264" s="39">
        <v>308.43</v>
      </c>
      <c r="F264" s="39">
        <v>77.11</v>
      </c>
      <c r="G264" s="40"/>
      <c r="H264" s="40">
        <v>385.54</v>
      </c>
      <c r="I264" s="64"/>
      <c r="J264" s="64"/>
      <c r="K264" s="117"/>
      <c r="L264" s="118"/>
    </row>
    <row r="265" s="14" customFormat="1" ht="21.75" customHeight="1" spans="2:12">
      <c r="B265" s="116"/>
      <c r="C265" s="113" t="s">
        <v>1212</v>
      </c>
      <c r="D265" s="39"/>
      <c r="E265" s="39">
        <v>3032.35</v>
      </c>
      <c r="F265" s="39">
        <v>416.71</v>
      </c>
      <c r="G265" s="40"/>
      <c r="H265" s="40">
        <v>3449.06</v>
      </c>
      <c r="I265" s="64"/>
      <c r="J265" s="64"/>
      <c r="K265" s="117"/>
      <c r="L265" s="118"/>
    </row>
    <row r="266" s="14" customFormat="1" ht="21.75" customHeight="1" spans="2:12">
      <c r="B266" s="116"/>
      <c r="C266" s="113" t="s">
        <v>1213</v>
      </c>
      <c r="D266" s="39"/>
      <c r="E266" s="39">
        <v>310.73</v>
      </c>
      <c r="F266" s="39">
        <v>77.68</v>
      </c>
      <c r="G266" s="40"/>
      <c r="H266" s="40">
        <v>388.41</v>
      </c>
      <c r="I266" s="64"/>
      <c r="J266" s="64"/>
      <c r="K266" s="117"/>
      <c r="L266" s="118"/>
    </row>
    <row r="267" s="14" customFormat="1" ht="21.75" customHeight="1" spans="2:12">
      <c r="B267" s="116"/>
      <c r="C267" s="113" t="s">
        <v>56</v>
      </c>
      <c r="D267" s="39"/>
      <c r="E267" s="39">
        <v>193.98</v>
      </c>
      <c r="F267" s="39">
        <v>48.5</v>
      </c>
      <c r="G267" s="40"/>
      <c r="H267" s="40">
        <v>242.48</v>
      </c>
      <c r="I267" s="64"/>
      <c r="J267" s="64"/>
      <c r="K267" s="117"/>
      <c r="L267" s="118"/>
    </row>
    <row r="268" s="14" customFormat="1" ht="21.75" customHeight="1" spans="2:12">
      <c r="B268" s="116"/>
      <c r="C268" s="113" t="s">
        <v>1214</v>
      </c>
      <c r="D268" s="39"/>
      <c r="E268" s="39">
        <v>151.69</v>
      </c>
      <c r="F268" s="39">
        <v>37.92</v>
      </c>
      <c r="G268" s="40"/>
      <c r="H268" s="40">
        <v>189.61</v>
      </c>
      <c r="I268" s="64"/>
      <c r="J268" s="64"/>
      <c r="K268" s="117"/>
      <c r="L268" s="118"/>
    </row>
    <row r="269" s="14" customFormat="1" ht="21.75" customHeight="1" spans="2:12">
      <c r="B269" s="116"/>
      <c r="C269" s="113" t="s">
        <v>1215</v>
      </c>
      <c r="D269" s="39"/>
      <c r="E269" s="39">
        <v>3.68</v>
      </c>
      <c r="F269" s="39">
        <v>0.92</v>
      </c>
      <c r="G269" s="40"/>
      <c r="H269" s="40">
        <v>4.6</v>
      </c>
      <c r="I269" s="64"/>
      <c r="J269" s="64"/>
      <c r="K269" s="117"/>
      <c r="L269" s="118"/>
    </row>
    <row r="270" s="14" customFormat="1" ht="21.75" customHeight="1" spans="2:12">
      <c r="B270" s="116"/>
      <c r="C270" s="113" t="s">
        <v>1216</v>
      </c>
      <c r="D270" s="39"/>
      <c r="E270" s="39">
        <v>38.18</v>
      </c>
      <c r="F270" s="39">
        <v>9.55</v>
      </c>
      <c r="G270" s="40"/>
      <c r="H270" s="40">
        <v>47.73</v>
      </c>
      <c r="I270" s="64"/>
      <c r="J270" s="64"/>
      <c r="K270" s="117"/>
      <c r="L270" s="118"/>
    </row>
    <row r="271" s="14" customFormat="1" ht="21.75" customHeight="1" spans="2:12">
      <c r="B271" s="116"/>
      <c r="C271" s="113" t="s">
        <v>60</v>
      </c>
      <c r="D271" s="39"/>
      <c r="E271" s="39">
        <v>9.83</v>
      </c>
      <c r="F271" s="39">
        <v>2.46</v>
      </c>
      <c r="G271" s="40"/>
      <c r="H271" s="40">
        <v>12.29</v>
      </c>
      <c r="I271" s="64"/>
      <c r="J271" s="64"/>
      <c r="K271" s="117"/>
      <c r="L271" s="118"/>
    </row>
    <row r="272" s="14" customFormat="1" ht="21.75" customHeight="1" spans="2:12">
      <c r="B272" s="116"/>
      <c r="C272" s="113" t="s">
        <v>1217</v>
      </c>
      <c r="D272" s="39"/>
      <c r="E272" s="39">
        <v>116.41</v>
      </c>
      <c r="F272" s="39">
        <v>29.1</v>
      </c>
      <c r="G272" s="40"/>
      <c r="H272" s="40">
        <v>145.51</v>
      </c>
      <c r="I272" s="64"/>
      <c r="J272" s="64"/>
      <c r="K272" s="117"/>
      <c r="L272" s="118"/>
    </row>
    <row r="273" s="14" customFormat="1" ht="21.75" customHeight="1" spans="2:12">
      <c r="B273" s="116"/>
      <c r="C273" s="113" t="s">
        <v>1218</v>
      </c>
      <c r="D273" s="39"/>
      <c r="E273" s="39">
        <v>48.42</v>
      </c>
      <c r="F273" s="39">
        <v>12.1</v>
      </c>
      <c r="G273" s="40"/>
      <c r="H273" s="40">
        <v>60.52</v>
      </c>
      <c r="I273" s="64"/>
      <c r="J273" s="64"/>
      <c r="K273" s="117"/>
      <c r="L273" s="118"/>
    </row>
    <row r="274" s="14" customFormat="1" ht="21.75" customHeight="1" spans="2:12">
      <c r="B274" s="116"/>
      <c r="C274" s="113" t="s">
        <v>978</v>
      </c>
      <c r="D274" s="39"/>
      <c r="E274" s="39">
        <v>458.31</v>
      </c>
      <c r="F274" s="39">
        <v>114.58</v>
      </c>
      <c r="G274" s="40"/>
      <c r="H274" s="40">
        <v>572.89</v>
      </c>
      <c r="I274" s="64"/>
      <c r="J274" s="64"/>
      <c r="K274" s="117"/>
      <c r="L274" s="118"/>
    </row>
    <row r="275" s="14" customFormat="1" ht="21.75" customHeight="1" spans="2:12">
      <c r="B275" s="116"/>
      <c r="C275" s="113" t="s">
        <v>1219</v>
      </c>
      <c r="D275" s="39"/>
      <c r="E275" s="39">
        <v>178.31</v>
      </c>
      <c r="F275" s="39">
        <v>44.58</v>
      </c>
      <c r="G275" s="40"/>
      <c r="H275" s="40">
        <v>222.88</v>
      </c>
      <c r="I275" s="64"/>
      <c r="J275" s="64"/>
      <c r="K275" s="117"/>
      <c r="L275" s="118"/>
    </row>
    <row r="276" s="14" customFormat="1" ht="21.75" customHeight="1" spans="2:12">
      <c r="B276" s="116"/>
      <c r="C276" s="113" t="s">
        <v>1220</v>
      </c>
      <c r="D276" s="39"/>
      <c r="E276" s="39">
        <v>384.19</v>
      </c>
      <c r="F276" s="39">
        <v>96.05</v>
      </c>
      <c r="G276" s="40"/>
      <c r="H276" s="40">
        <v>480.24</v>
      </c>
      <c r="I276" s="64"/>
      <c r="J276" s="64"/>
      <c r="K276" s="117"/>
      <c r="L276" s="118"/>
    </row>
    <row r="277" s="14" customFormat="1" ht="21.75" customHeight="1" spans="2:12">
      <c r="B277" s="116"/>
      <c r="C277" s="113" t="s">
        <v>1221</v>
      </c>
      <c r="D277" s="39"/>
      <c r="E277" s="39">
        <v>1386</v>
      </c>
      <c r="F277" s="39"/>
      <c r="G277" s="40"/>
      <c r="H277" s="40">
        <v>1386</v>
      </c>
      <c r="I277" s="64"/>
      <c r="J277" s="64"/>
      <c r="K277" s="117"/>
      <c r="L277" s="118"/>
    </row>
    <row r="278" s="14" customFormat="1" ht="21.75" customHeight="1" spans="2:12">
      <c r="B278" s="116" t="s">
        <v>1242</v>
      </c>
      <c r="C278" s="113" t="s">
        <v>1223</v>
      </c>
      <c r="D278" s="39"/>
      <c r="E278" s="39">
        <v>9.2</v>
      </c>
      <c r="F278" s="39">
        <v>2.3</v>
      </c>
      <c r="G278" s="40"/>
      <c r="H278" s="40">
        <v>11.5</v>
      </c>
      <c r="I278" s="64"/>
      <c r="J278" s="64"/>
      <c r="K278" s="117"/>
      <c r="L278" s="118"/>
    </row>
    <row r="279" s="14" customFormat="1" ht="21.75" customHeight="1" spans="2:12">
      <c r="B279" s="116" t="s">
        <v>1243</v>
      </c>
      <c r="C279" s="113" t="s">
        <v>1225</v>
      </c>
      <c r="D279" s="39"/>
      <c r="E279" s="39"/>
      <c r="F279" s="39">
        <v>270</v>
      </c>
      <c r="G279" s="40"/>
      <c r="H279" s="40">
        <v>270</v>
      </c>
      <c r="I279" s="64"/>
      <c r="J279" s="64"/>
      <c r="K279" s="117"/>
      <c r="L279" s="118"/>
    </row>
    <row r="280" s="14" customFormat="1" ht="21.75" customHeight="1" spans="2:12">
      <c r="B280" s="116" t="s">
        <v>1244</v>
      </c>
      <c r="C280" s="113" t="s">
        <v>1227</v>
      </c>
      <c r="D280" s="39"/>
      <c r="E280" s="39"/>
      <c r="F280" s="39">
        <v>300</v>
      </c>
      <c r="G280" s="40"/>
      <c r="H280" s="40">
        <v>300</v>
      </c>
      <c r="I280" s="64"/>
      <c r="J280" s="64"/>
      <c r="K280" s="117"/>
      <c r="L280" s="118"/>
    </row>
    <row r="281" s="14" customFormat="1" ht="21.75" customHeight="1" spans="2:12">
      <c r="B281" s="116" t="s">
        <v>1245</v>
      </c>
      <c r="C281" s="113" t="s">
        <v>983</v>
      </c>
      <c r="D281" s="39"/>
      <c r="E281" s="39">
        <v>615.67</v>
      </c>
      <c r="F281" s="39">
        <v>49.25</v>
      </c>
      <c r="G281" s="40"/>
      <c r="H281" s="40">
        <v>664.92</v>
      </c>
      <c r="I281" s="64"/>
      <c r="J281" s="64"/>
      <c r="K281" s="117"/>
      <c r="L281" s="118"/>
    </row>
    <row r="282" s="14" customFormat="1" ht="21.75" customHeight="1" spans="2:12">
      <c r="B282" s="116" t="s">
        <v>1246</v>
      </c>
      <c r="C282" s="113" t="s">
        <v>984</v>
      </c>
      <c r="D282" s="39"/>
      <c r="E282" s="39">
        <v>236.83</v>
      </c>
      <c r="F282" s="39">
        <v>23.68</v>
      </c>
      <c r="G282" s="40"/>
      <c r="H282" s="40">
        <v>260.51</v>
      </c>
      <c r="I282" s="64"/>
      <c r="J282" s="64"/>
      <c r="K282" s="117"/>
      <c r="L282" s="118"/>
    </row>
    <row r="283" s="14" customFormat="1" ht="21.75" customHeight="1" spans="2:12">
      <c r="B283" s="116" t="s">
        <v>1247</v>
      </c>
      <c r="C283" s="113" t="s">
        <v>982</v>
      </c>
      <c r="D283" s="39"/>
      <c r="E283" s="39">
        <v>548.13</v>
      </c>
      <c r="F283" s="39">
        <v>328.88</v>
      </c>
      <c r="G283" s="40"/>
      <c r="H283" s="40">
        <v>877.01</v>
      </c>
      <c r="I283" s="64"/>
      <c r="J283" s="64"/>
      <c r="K283" s="117"/>
      <c r="L283" s="118"/>
    </row>
    <row r="284" s="14" customFormat="1" ht="21.75" customHeight="1" spans="2:12">
      <c r="B284" s="116" t="s">
        <v>1248</v>
      </c>
      <c r="C284" s="113" t="s">
        <v>987</v>
      </c>
      <c r="D284" s="39"/>
      <c r="E284" s="39">
        <v>34</v>
      </c>
      <c r="F284" s="39"/>
      <c r="G284" s="40"/>
      <c r="H284" s="40">
        <v>34</v>
      </c>
      <c r="I284" s="64"/>
      <c r="J284" s="64"/>
      <c r="K284" s="117"/>
      <c r="L284" s="118"/>
    </row>
    <row r="285" s="14" customFormat="1" ht="21.75" customHeight="1" spans="2:12">
      <c r="B285" s="116" t="s">
        <v>1249</v>
      </c>
      <c r="C285" s="113" t="s">
        <v>86</v>
      </c>
      <c r="D285" s="39"/>
      <c r="E285" s="39">
        <v>38</v>
      </c>
      <c r="F285" s="39"/>
      <c r="G285" s="40"/>
      <c r="H285" s="40">
        <v>38</v>
      </c>
      <c r="I285" s="64"/>
      <c r="J285" s="64"/>
      <c r="K285" s="117"/>
      <c r="L285" s="118"/>
    </row>
    <row r="286" s="14" customFormat="1" ht="21.75" customHeight="1" spans="2:12">
      <c r="B286" s="116" t="s">
        <v>1250</v>
      </c>
      <c r="C286" s="113" t="s">
        <v>989</v>
      </c>
      <c r="D286" s="39"/>
      <c r="E286" s="39">
        <v>60</v>
      </c>
      <c r="F286" s="39"/>
      <c r="G286" s="40"/>
      <c r="H286" s="40">
        <v>60</v>
      </c>
      <c r="I286" s="64"/>
      <c r="J286" s="64"/>
      <c r="K286" s="117"/>
      <c r="L286" s="118"/>
    </row>
    <row r="287" s="14" customFormat="1" ht="21.75" customHeight="1" spans="2:12">
      <c r="B287" s="116" t="s">
        <v>1251</v>
      </c>
      <c r="C287" s="113" t="s">
        <v>1235</v>
      </c>
      <c r="D287" s="39"/>
      <c r="E287" s="39"/>
      <c r="F287" s="39">
        <v>50</v>
      </c>
      <c r="G287" s="40"/>
      <c r="H287" s="40">
        <v>50</v>
      </c>
      <c r="I287" s="81" t="s">
        <v>841</v>
      </c>
      <c r="J287" s="64">
        <v>1</v>
      </c>
      <c r="K287" s="121" t="s">
        <v>125</v>
      </c>
      <c r="L287" s="118"/>
    </row>
    <row r="288" s="14" customFormat="1" ht="21.75" customHeight="1" spans="2:12">
      <c r="B288" s="116" t="s">
        <v>1252</v>
      </c>
      <c r="C288" s="113" t="s">
        <v>1237</v>
      </c>
      <c r="D288" s="39"/>
      <c r="E288" s="39"/>
      <c r="F288" s="39">
        <v>250</v>
      </c>
      <c r="G288" s="40"/>
      <c r="H288" s="40">
        <v>250</v>
      </c>
      <c r="I288" s="81" t="s">
        <v>841</v>
      </c>
      <c r="J288" s="64">
        <v>1</v>
      </c>
      <c r="K288" s="121" t="s">
        <v>125</v>
      </c>
      <c r="L288" s="118"/>
    </row>
    <row r="289" s="14" customFormat="1" ht="21.75" customHeight="1" spans="2:12">
      <c r="B289" s="116" t="s">
        <v>1253</v>
      </c>
      <c r="C289" s="113" t="s">
        <v>1239</v>
      </c>
      <c r="D289" s="39"/>
      <c r="E289" s="39"/>
      <c r="F289" s="39"/>
      <c r="G289" s="40">
        <v>87.41</v>
      </c>
      <c r="H289" s="40">
        <v>87.41</v>
      </c>
      <c r="I289" s="64"/>
      <c r="J289" s="64"/>
      <c r="K289" s="117"/>
      <c r="L289" s="118"/>
    </row>
    <row r="290" ht="21.75" customHeight="1" spans="2:12">
      <c r="B290" s="31" t="s">
        <v>993</v>
      </c>
      <c r="C290" s="111" t="s">
        <v>1061</v>
      </c>
      <c r="D290" s="39"/>
      <c r="E290" s="39"/>
      <c r="F290" s="39"/>
      <c r="G290" s="40"/>
      <c r="H290" s="40">
        <v>0</v>
      </c>
      <c r="I290" s="64"/>
      <c r="J290" s="64"/>
      <c r="K290" s="64"/>
      <c r="L290" s="130"/>
    </row>
    <row r="291" ht="21.75" customHeight="1" spans="2:12">
      <c r="B291" s="41"/>
      <c r="C291" s="122" t="s">
        <v>1133</v>
      </c>
      <c r="D291" s="39" t="e">
        <f>J291*K291/10000</f>
        <v>#REF!</v>
      </c>
      <c r="E291" s="39"/>
      <c r="F291" s="39"/>
      <c r="G291" s="40"/>
      <c r="H291" s="40" t="e">
        <f>SUM(D291:G291)</f>
        <v>#REF!</v>
      </c>
      <c r="I291" s="64" t="s">
        <v>29</v>
      </c>
      <c r="J291" s="64">
        <v>39000</v>
      </c>
      <c r="K291" s="131" t="e">
        <f>近期投资汇总表!#REF!</f>
        <v>#REF!</v>
      </c>
      <c r="L291" s="130"/>
    </row>
    <row r="292" ht="21.75" customHeight="1" spans="2:12">
      <c r="B292" s="41"/>
      <c r="C292" s="122" t="s">
        <v>1254</v>
      </c>
      <c r="D292" s="39" t="e">
        <f t="shared" ref="D292:D298" si="33">J292*K292/10000</f>
        <v>#REF!</v>
      </c>
      <c r="E292" s="39"/>
      <c r="F292" s="39"/>
      <c r="G292" s="40"/>
      <c r="H292" s="40" t="e">
        <f t="shared" ref="H292:H298" si="34">SUM(D292:G292)</f>
        <v>#REF!</v>
      </c>
      <c r="I292" s="64" t="s">
        <v>29</v>
      </c>
      <c r="J292" s="64">
        <v>9865</v>
      </c>
      <c r="K292" s="131" t="e">
        <f>近期投资汇总表!#REF!</f>
        <v>#REF!</v>
      </c>
      <c r="L292" s="130"/>
    </row>
    <row r="293" ht="21.75" customHeight="1" spans="2:12">
      <c r="B293" s="41"/>
      <c r="C293" s="122" t="s">
        <v>1255</v>
      </c>
      <c r="D293" s="39" t="e">
        <f t="shared" si="33"/>
        <v>#REF!</v>
      </c>
      <c r="E293" s="39"/>
      <c r="F293" s="39"/>
      <c r="G293" s="40"/>
      <c r="H293" s="40" t="e">
        <f t="shared" si="34"/>
        <v>#REF!</v>
      </c>
      <c r="I293" s="64" t="s">
        <v>29</v>
      </c>
      <c r="J293" s="64">
        <v>16812</v>
      </c>
      <c r="K293" s="131" t="e">
        <f>近期投资汇总表!#REF!</f>
        <v>#REF!</v>
      </c>
      <c r="L293" s="130"/>
    </row>
    <row r="294" ht="21.75" customHeight="1" spans="2:12">
      <c r="B294" s="41"/>
      <c r="C294" s="122" t="s">
        <v>1256</v>
      </c>
      <c r="D294" s="39" t="e">
        <f t="shared" si="33"/>
        <v>#REF!</v>
      </c>
      <c r="E294" s="39"/>
      <c r="F294" s="39"/>
      <c r="G294" s="40"/>
      <c r="H294" s="40" t="e">
        <f t="shared" si="34"/>
        <v>#REF!</v>
      </c>
      <c r="I294" s="64" t="s">
        <v>29</v>
      </c>
      <c r="J294" s="64">
        <v>19277</v>
      </c>
      <c r="K294" s="131" t="e">
        <f>近期投资汇总表!#REF!</f>
        <v>#REF!</v>
      </c>
      <c r="L294" s="130"/>
    </row>
    <row r="295" ht="21.75" customHeight="1" spans="2:12">
      <c r="B295" s="41"/>
      <c r="C295" s="122" t="s">
        <v>1257</v>
      </c>
      <c r="D295" s="39">
        <f t="shared" si="33"/>
        <v>6581.601</v>
      </c>
      <c r="E295" s="39"/>
      <c r="F295" s="39"/>
      <c r="G295" s="40"/>
      <c r="H295" s="40">
        <f t="shared" si="34"/>
        <v>6581.601</v>
      </c>
      <c r="I295" s="64" t="s">
        <v>29</v>
      </c>
      <c r="J295" s="64">
        <v>14339</v>
      </c>
      <c r="K295" s="131">
        <v>4590</v>
      </c>
      <c r="L295" s="130"/>
    </row>
    <row r="296" ht="21.75" customHeight="1" spans="2:12">
      <c r="B296" s="41"/>
      <c r="C296" s="123" t="s">
        <v>1258</v>
      </c>
      <c r="D296" s="39" t="e">
        <f t="shared" si="33"/>
        <v>#REF!</v>
      </c>
      <c r="E296" s="39"/>
      <c r="F296" s="39"/>
      <c r="G296" s="40"/>
      <c r="H296" s="40" t="e">
        <f t="shared" si="34"/>
        <v>#REF!</v>
      </c>
      <c r="I296" s="64" t="s">
        <v>29</v>
      </c>
      <c r="J296" s="64">
        <v>8536</v>
      </c>
      <c r="K296" s="131" t="e">
        <f>近期投资汇总表!#REF!</f>
        <v>#REF!</v>
      </c>
      <c r="L296" s="130"/>
    </row>
    <row r="297" ht="21.75" customHeight="1" spans="2:12">
      <c r="B297" s="41"/>
      <c r="C297" s="122" t="s">
        <v>1259</v>
      </c>
      <c r="D297" s="39" t="e">
        <f t="shared" si="33"/>
        <v>#REF!</v>
      </c>
      <c r="E297" s="39"/>
      <c r="F297" s="39"/>
      <c r="G297" s="40"/>
      <c r="H297" s="40" t="e">
        <f t="shared" si="34"/>
        <v>#REF!</v>
      </c>
      <c r="I297" s="64" t="s">
        <v>29</v>
      </c>
      <c r="J297" s="64">
        <v>5031</v>
      </c>
      <c r="K297" s="131" t="e">
        <f>近期投资汇总表!#REF!</f>
        <v>#REF!</v>
      </c>
      <c r="L297" s="130"/>
    </row>
    <row r="298" ht="21.75" customHeight="1" spans="2:12">
      <c r="B298" s="31" t="s">
        <v>1040</v>
      </c>
      <c r="C298" s="111" t="s">
        <v>1129</v>
      </c>
      <c r="D298" s="39">
        <f t="shared" si="33"/>
        <v>0</v>
      </c>
      <c r="E298" s="39"/>
      <c r="F298" s="39"/>
      <c r="G298" s="40"/>
      <c r="H298" s="40">
        <f t="shared" si="34"/>
        <v>0</v>
      </c>
      <c r="I298" s="81"/>
      <c r="J298" s="64"/>
      <c r="K298" s="64"/>
      <c r="L298" s="68"/>
    </row>
    <row r="299" ht="21.75" customHeight="1" spans="2:12">
      <c r="B299" s="41"/>
      <c r="C299" s="122" t="s">
        <v>1256</v>
      </c>
      <c r="D299" s="39" t="e">
        <f t="shared" ref="D299:D304" si="35">J299*K299/10000</f>
        <v>#REF!</v>
      </c>
      <c r="E299" s="39"/>
      <c r="F299" s="39"/>
      <c r="G299" s="40"/>
      <c r="H299" s="40" t="e">
        <f t="shared" ref="H299:H304" si="36">SUM(D299:G299)</f>
        <v>#REF!</v>
      </c>
      <c r="I299" s="64" t="s">
        <v>29</v>
      </c>
      <c r="J299" s="64">
        <v>39100</v>
      </c>
      <c r="K299" s="131" t="e">
        <f>近期投资汇总表!#REF!</f>
        <v>#REF!</v>
      </c>
      <c r="L299" s="130"/>
    </row>
    <row r="300" ht="21.75" customHeight="1" spans="2:12">
      <c r="B300" s="41"/>
      <c r="C300" s="123" t="s">
        <v>1260</v>
      </c>
      <c r="D300" s="39" t="e">
        <f t="shared" si="35"/>
        <v>#REF!</v>
      </c>
      <c r="E300" s="39"/>
      <c r="F300" s="39"/>
      <c r="G300" s="40"/>
      <c r="H300" s="40" t="e">
        <f t="shared" si="36"/>
        <v>#REF!</v>
      </c>
      <c r="I300" s="64" t="s">
        <v>29</v>
      </c>
      <c r="J300" s="64">
        <v>15283</v>
      </c>
      <c r="K300" s="131" t="e">
        <f>近期投资汇总表!#REF!</f>
        <v>#REF!</v>
      </c>
      <c r="L300" s="130"/>
    </row>
    <row r="301" ht="21.75" customHeight="1" spans="2:12">
      <c r="B301" s="41"/>
      <c r="C301" s="122" t="s">
        <v>1259</v>
      </c>
      <c r="D301" s="39" t="e">
        <f t="shared" si="35"/>
        <v>#REF!</v>
      </c>
      <c r="E301" s="39"/>
      <c r="F301" s="39"/>
      <c r="G301" s="40"/>
      <c r="H301" s="40" t="e">
        <f t="shared" si="36"/>
        <v>#REF!</v>
      </c>
      <c r="I301" s="64" t="s">
        <v>29</v>
      </c>
      <c r="J301" s="64">
        <v>6466</v>
      </c>
      <c r="K301" s="131" t="e">
        <f>近期投资汇总表!#REF!</f>
        <v>#REF!</v>
      </c>
      <c r="L301" s="130"/>
    </row>
    <row r="302" ht="21.75" customHeight="1" spans="2:12">
      <c r="B302" s="41"/>
      <c r="C302" s="122" t="s">
        <v>1261</v>
      </c>
      <c r="D302" s="39" t="e">
        <f t="shared" si="35"/>
        <v>#REF!</v>
      </c>
      <c r="E302" s="39"/>
      <c r="F302" s="39"/>
      <c r="G302" s="40"/>
      <c r="H302" s="40" t="e">
        <f t="shared" si="36"/>
        <v>#REF!</v>
      </c>
      <c r="I302" s="64" t="s">
        <v>29</v>
      </c>
      <c r="J302" s="64">
        <v>4328</v>
      </c>
      <c r="K302" s="131" t="e">
        <f>近期投资汇总表!#REF!</f>
        <v>#REF!</v>
      </c>
      <c r="L302" s="130"/>
    </row>
    <row r="303" ht="21.75" customHeight="1" spans="2:12">
      <c r="B303" s="41"/>
      <c r="C303" s="122" t="s">
        <v>1262</v>
      </c>
      <c r="D303" s="39">
        <f t="shared" si="35"/>
        <v>3008.23079666667</v>
      </c>
      <c r="E303" s="39"/>
      <c r="F303" s="39"/>
      <c r="G303" s="40"/>
      <c r="H303" s="40">
        <f t="shared" si="36"/>
        <v>3008.23079666667</v>
      </c>
      <c r="I303" s="64" t="s">
        <v>29</v>
      </c>
      <c r="J303" s="64">
        <v>2921</v>
      </c>
      <c r="K303" s="117">
        <v>10298.6333333333</v>
      </c>
      <c r="L303" s="130"/>
    </row>
    <row r="304" ht="21.75" customHeight="1" spans="2:12">
      <c r="B304" s="41"/>
      <c r="C304" s="122" t="s">
        <v>1263</v>
      </c>
      <c r="D304" s="39">
        <f t="shared" si="35"/>
        <v>2349.36576233333</v>
      </c>
      <c r="E304" s="39"/>
      <c r="F304" s="39"/>
      <c r="G304" s="40"/>
      <c r="H304" s="40">
        <f t="shared" si="36"/>
        <v>2349.36576233333</v>
      </c>
      <c r="I304" s="64" t="s">
        <v>29</v>
      </c>
      <c r="J304" s="64">
        <v>1841</v>
      </c>
      <c r="K304" s="117">
        <v>12761.3566666667</v>
      </c>
      <c r="L304" s="130"/>
    </row>
    <row r="305" ht="21.75" customHeight="1" spans="2:12">
      <c r="B305" s="28" t="s">
        <v>91</v>
      </c>
      <c r="C305" s="124" t="s">
        <v>92</v>
      </c>
      <c r="D305" s="30"/>
      <c r="E305" s="30"/>
      <c r="F305" s="30"/>
      <c r="G305" s="125"/>
      <c r="H305" s="125" t="e">
        <f ca="1">SUM(H306:H330)</f>
        <v>#REF!</v>
      </c>
      <c r="I305" s="30"/>
      <c r="J305" s="30"/>
      <c r="K305" s="132"/>
      <c r="L305" s="133"/>
    </row>
    <row r="306" ht="21.75" customHeight="1" spans="2:12">
      <c r="B306" s="25" t="s">
        <v>18</v>
      </c>
      <c r="C306" s="126" t="s">
        <v>93</v>
      </c>
      <c r="D306" s="127"/>
      <c r="E306" s="127"/>
      <c r="F306" s="127"/>
      <c r="G306" s="128"/>
      <c r="H306" s="40"/>
      <c r="I306" s="134" t="s">
        <v>94</v>
      </c>
      <c r="J306" s="30"/>
      <c r="K306" s="132"/>
      <c r="L306" s="135" t="s">
        <v>1104</v>
      </c>
    </row>
    <row r="307" ht="21.75" customHeight="1" spans="2:12">
      <c r="B307" s="25" t="s">
        <v>40</v>
      </c>
      <c r="C307" s="126" t="s">
        <v>1105</v>
      </c>
      <c r="D307" s="127"/>
      <c r="E307" s="127"/>
      <c r="F307" s="127"/>
      <c r="G307" s="128"/>
      <c r="H307" s="40"/>
      <c r="I307" s="136" t="s">
        <v>283</v>
      </c>
      <c r="J307" s="30"/>
      <c r="K307" s="132"/>
      <c r="L307" s="135" t="s">
        <v>1104</v>
      </c>
    </row>
    <row r="308" ht="21.75" customHeight="1" spans="2:12">
      <c r="B308" s="25" t="s">
        <v>45</v>
      </c>
      <c r="C308" s="126" t="s">
        <v>95</v>
      </c>
      <c r="D308" s="127"/>
      <c r="E308" s="127"/>
      <c r="F308" s="127"/>
      <c r="G308" s="65" t="e">
        <f ca="1">940+(H335-100000)*0.4%</f>
        <v>#REF!</v>
      </c>
      <c r="H308" s="40" t="e">
        <f ca="1">SUM(G308)</f>
        <v>#REF!</v>
      </c>
      <c r="I308" s="137" t="s">
        <v>96</v>
      </c>
      <c r="J308" s="138"/>
      <c r="K308" s="138"/>
      <c r="L308" s="139"/>
    </row>
    <row r="309" ht="21.75" customHeight="1" spans="2:12">
      <c r="B309" s="25" t="s">
        <v>47</v>
      </c>
      <c r="C309" s="126" t="s">
        <v>97</v>
      </c>
      <c r="D309" s="127"/>
      <c r="E309" s="127"/>
      <c r="F309" s="127"/>
      <c r="G309" s="127" t="e">
        <f>((2712.5-1507)/100000*(H4+H324-100000)+1507)*1.15*1</f>
        <v>#REF!</v>
      </c>
      <c r="H309" s="40" t="e">
        <f t="shared" ref="H309:H330" si="37">SUM(G309)</f>
        <v>#REF!</v>
      </c>
      <c r="I309" s="137" t="s">
        <v>1106</v>
      </c>
      <c r="J309" s="138"/>
      <c r="K309" s="138"/>
      <c r="L309" s="139"/>
    </row>
    <row r="310" ht="21.75" customHeight="1" spans="2:12">
      <c r="B310" s="25" t="s">
        <v>51</v>
      </c>
      <c r="C310" s="126" t="s">
        <v>99</v>
      </c>
      <c r="D310" s="127"/>
      <c r="E310" s="127"/>
      <c r="F310" s="127"/>
      <c r="G310" s="127" t="e">
        <f ca="1">((100+200+17+25-55-110-15-20)/400000*(H335-100000)+(55+110+15+20))*0.7*1.2</f>
        <v>#REF!</v>
      </c>
      <c r="H310" s="40" t="e">
        <f ca="1" t="shared" si="37"/>
        <v>#REF!</v>
      </c>
      <c r="I310" s="137" t="s">
        <v>1107</v>
      </c>
      <c r="J310" s="138"/>
      <c r="K310" s="138"/>
      <c r="L310" s="139"/>
    </row>
    <row r="311" ht="21.75" customHeight="1" spans="2:12">
      <c r="B311" s="25" t="s">
        <v>53</v>
      </c>
      <c r="C311" s="126" t="s">
        <v>101</v>
      </c>
      <c r="D311" s="127"/>
      <c r="E311" s="127"/>
      <c r="F311" s="127"/>
      <c r="G311" s="127" t="e">
        <f>H4*1.1%</f>
        <v>#REF!</v>
      </c>
      <c r="H311" s="40" t="e">
        <f t="shared" si="37"/>
        <v>#REF!</v>
      </c>
      <c r="I311" s="137" t="s">
        <v>102</v>
      </c>
      <c r="J311" s="138"/>
      <c r="K311" s="138"/>
      <c r="L311" s="139"/>
    </row>
    <row r="312" ht="21.75" customHeight="1" spans="2:12">
      <c r="B312" s="25" t="s">
        <v>55</v>
      </c>
      <c r="C312" s="126" t="s">
        <v>103</v>
      </c>
      <c r="D312" s="127"/>
      <c r="E312" s="127"/>
      <c r="F312" s="127"/>
      <c r="G312" s="127" t="e">
        <f>((4450.8-2393.4)/100000*(H4+H324-100000)+2393.4)*1*1.15</f>
        <v>#REF!</v>
      </c>
      <c r="H312" s="40" t="e">
        <f t="shared" si="37"/>
        <v>#REF!</v>
      </c>
      <c r="I312" s="137" t="s">
        <v>1108</v>
      </c>
      <c r="J312" s="138"/>
      <c r="K312" s="138"/>
      <c r="L312" s="139"/>
    </row>
    <row r="313" ht="21.75" customHeight="1" spans="2:12">
      <c r="B313" s="25" t="s">
        <v>59</v>
      </c>
      <c r="C313" s="126" t="s">
        <v>105</v>
      </c>
      <c r="D313" s="127"/>
      <c r="E313" s="127"/>
      <c r="F313" s="127"/>
      <c r="G313" s="127"/>
      <c r="H313" s="40">
        <f t="shared" si="37"/>
        <v>0</v>
      </c>
      <c r="I313" s="138"/>
      <c r="J313" s="138"/>
      <c r="K313" s="138"/>
      <c r="L313" s="139"/>
    </row>
    <row r="314" ht="21.75" customHeight="1" spans="2:12">
      <c r="B314" s="25"/>
      <c r="C314" s="129" t="s">
        <v>1109</v>
      </c>
      <c r="D314" s="127"/>
      <c r="E314" s="127"/>
      <c r="F314" s="127"/>
      <c r="G314" s="127" t="e">
        <f>G312*5%</f>
        <v>#REF!</v>
      </c>
      <c r="H314" s="40" t="e">
        <f t="shared" si="37"/>
        <v>#REF!</v>
      </c>
      <c r="I314" s="137" t="s">
        <v>1108</v>
      </c>
      <c r="J314" s="138"/>
      <c r="K314" s="138"/>
      <c r="L314" s="139"/>
    </row>
    <row r="315" ht="21.75" customHeight="1" spans="2:12">
      <c r="B315" s="25"/>
      <c r="C315" s="129" t="s">
        <v>1110</v>
      </c>
      <c r="D315" s="127"/>
      <c r="E315" s="127"/>
      <c r="F315" s="127"/>
      <c r="G315" s="127" t="e">
        <f>G312*5%</f>
        <v>#REF!</v>
      </c>
      <c r="H315" s="40" t="e">
        <f t="shared" si="37"/>
        <v>#REF!</v>
      </c>
      <c r="I315" s="137" t="s">
        <v>1108</v>
      </c>
      <c r="J315" s="138"/>
      <c r="K315" s="138"/>
      <c r="L315" s="139"/>
    </row>
    <row r="316" ht="21.75" customHeight="1" spans="2:12">
      <c r="B316" s="25"/>
      <c r="C316" s="129" t="s">
        <v>106</v>
      </c>
      <c r="D316" s="127"/>
      <c r="E316" s="127"/>
      <c r="F316" s="127"/>
      <c r="G316" s="127" t="e">
        <f>G312*10%</f>
        <v>#REF!</v>
      </c>
      <c r="H316" s="40" t="e">
        <f t="shared" si="37"/>
        <v>#REF!</v>
      </c>
      <c r="I316" s="137" t="s">
        <v>1108</v>
      </c>
      <c r="J316" s="138"/>
      <c r="K316" s="138"/>
      <c r="L316" s="139"/>
    </row>
    <row r="317" ht="21.75" customHeight="1" spans="2:12">
      <c r="B317" s="25"/>
      <c r="C317" s="129" t="s">
        <v>1111</v>
      </c>
      <c r="D317" s="127"/>
      <c r="E317" s="127"/>
      <c r="F317" s="127"/>
      <c r="G317" s="127" t="e">
        <f>G312*8%</f>
        <v>#REF!</v>
      </c>
      <c r="H317" s="40" t="e">
        <f t="shared" si="37"/>
        <v>#REF!</v>
      </c>
      <c r="I317" s="137" t="s">
        <v>1108</v>
      </c>
      <c r="J317" s="138"/>
      <c r="K317" s="138"/>
      <c r="L317" s="139"/>
    </row>
    <row r="318" ht="21.75" customHeight="1" spans="2:12">
      <c r="B318" s="25" t="s">
        <v>61</v>
      </c>
      <c r="C318" s="126" t="s">
        <v>108</v>
      </c>
      <c r="D318" s="127"/>
      <c r="E318" s="127"/>
      <c r="F318" s="127"/>
      <c r="G318" s="127" t="e">
        <f ca="1">((75+9-35-7)/400000*(H335-100000)+(35+7)+7+2)*1*1.2</f>
        <v>#REF!</v>
      </c>
      <c r="H318" s="40" t="e">
        <f ca="1" t="shared" si="37"/>
        <v>#REF!</v>
      </c>
      <c r="I318" s="137" t="s">
        <v>1112</v>
      </c>
      <c r="J318" s="138"/>
      <c r="K318" s="138"/>
      <c r="L318" s="139"/>
    </row>
    <row r="319" ht="21.75" customHeight="1" spans="2:12">
      <c r="B319" s="25" t="s">
        <v>63</v>
      </c>
      <c r="C319" s="126" t="s">
        <v>1113</v>
      </c>
      <c r="D319" s="127"/>
      <c r="E319" s="127"/>
      <c r="F319" s="127"/>
      <c r="G319" s="127" t="e">
        <f>H4*0.5%</f>
        <v>#REF!</v>
      </c>
      <c r="H319" s="40" t="e">
        <f t="shared" si="37"/>
        <v>#REF!</v>
      </c>
      <c r="I319" s="140" t="s">
        <v>1114</v>
      </c>
      <c r="J319" s="141"/>
      <c r="K319" s="141"/>
      <c r="L319" s="142"/>
    </row>
    <row r="320" ht="21.75" customHeight="1" spans="2:12">
      <c r="B320" s="25" t="s">
        <v>65</v>
      </c>
      <c r="C320" s="126" t="s">
        <v>110</v>
      </c>
      <c r="D320" s="127"/>
      <c r="E320" s="127"/>
      <c r="F320" s="127"/>
      <c r="G320" s="127" t="e">
        <f>H4*1%</f>
        <v>#REF!</v>
      </c>
      <c r="H320" s="40" t="e">
        <f t="shared" si="37"/>
        <v>#REF!</v>
      </c>
      <c r="I320" s="140" t="s">
        <v>111</v>
      </c>
      <c r="J320" s="141"/>
      <c r="K320" s="141"/>
      <c r="L320" s="142"/>
    </row>
    <row r="321" ht="21.75" customHeight="1" spans="2:12">
      <c r="B321" s="25" t="s">
        <v>67</v>
      </c>
      <c r="C321" s="126" t="s">
        <v>1115</v>
      </c>
      <c r="D321" s="127"/>
      <c r="E321" s="127"/>
      <c r="F321" s="127"/>
      <c r="G321" s="127" t="e">
        <f>H4*0.6%</f>
        <v>#REF!</v>
      </c>
      <c r="H321" s="40" t="e">
        <f t="shared" si="37"/>
        <v>#REF!</v>
      </c>
      <c r="I321" s="140" t="s">
        <v>1116</v>
      </c>
      <c r="J321" s="141"/>
      <c r="K321" s="141"/>
      <c r="L321" s="142"/>
    </row>
    <row r="322" ht="21.75" customHeight="1" spans="2:12">
      <c r="B322" s="25" t="s">
        <v>69</v>
      </c>
      <c r="C322" s="126" t="s">
        <v>112</v>
      </c>
      <c r="D322" s="127"/>
      <c r="E322" s="127"/>
      <c r="F322" s="127"/>
      <c r="G322" s="127">
        <f>110*6*0.3*0.6</f>
        <v>118.8</v>
      </c>
      <c r="H322" s="40">
        <f t="shared" si="37"/>
        <v>118.8</v>
      </c>
      <c r="I322" s="140" t="s">
        <v>113</v>
      </c>
      <c r="J322" s="141"/>
      <c r="K322" s="141"/>
      <c r="L322" s="142"/>
    </row>
    <row r="323" ht="21.75" customHeight="1" spans="2:12">
      <c r="B323" s="25" t="s">
        <v>71</v>
      </c>
      <c r="C323" s="126" t="s">
        <v>114</v>
      </c>
      <c r="D323" s="127"/>
      <c r="E323" s="127"/>
      <c r="F323" s="127"/>
      <c r="G323" s="127">
        <f>110*0.2</f>
        <v>22</v>
      </c>
      <c r="H323" s="40">
        <f t="shared" si="37"/>
        <v>22</v>
      </c>
      <c r="I323" s="140" t="s">
        <v>115</v>
      </c>
      <c r="J323" s="141"/>
      <c r="K323" s="141"/>
      <c r="L323" s="142"/>
    </row>
    <row r="324" ht="21.75" customHeight="1" spans="2:12">
      <c r="B324" s="25" t="s">
        <v>73</v>
      </c>
      <c r="C324" s="126" t="s">
        <v>116</v>
      </c>
      <c r="D324" s="127"/>
      <c r="E324" s="127"/>
      <c r="F324" s="127"/>
      <c r="G324" s="127" t="e">
        <f>H4*1%</f>
        <v>#REF!</v>
      </c>
      <c r="H324" s="40" t="e">
        <f t="shared" si="37"/>
        <v>#REF!</v>
      </c>
      <c r="I324" s="137" t="s">
        <v>117</v>
      </c>
      <c r="J324" s="138"/>
      <c r="K324" s="138"/>
      <c r="L324" s="139"/>
    </row>
    <row r="325" ht="21.75" customHeight="1" spans="2:12">
      <c r="B325" s="25" t="s">
        <v>75</v>
      </c>
      <c r="C325" s="126" t="s">
        <v>1117</v>
      </c>
      <c r="D325" s="127"/>
      <c r="E325" s="127"/>
      <c r="F325" s="127"/>
      <c r="G325" s="127" t="e">
        <f>100*1.5%+400*1.1%+500*0.8%+4000*0.5%+5000*0.25%+(E4+G4-10000)*0.05%+100*1%+400*0.7%+500*0.55%+4000*0.35%+5000*0.2%+40000*0.05%+50000*0.035%+(D4+F4-100000)*0.008%+100*1.5%+400*0.8%+500*0.45%+4000*0.25%+(G309+G311+G312+G314+G315+G316+G317-5000)*0.1%</f>
        <v>#REF!</v>
      </c>
      <c r="H325" s="40" t="e">
        <f t="shared" si="37"/>
        <v>#REF!</v>
      </c>
      <c r="I325" s="162" t="s">
        <v>1118</v>
      </c>
      <c r="J325" s="162"/>
      <c r="K325" s="162"/>
      <c r="L325" s="163"/>
    </row>
    <row r="326" ht="21.75" customHeight="1" spans="2:12">
      <c r="B326" s="25" t="s">
        <v>77</v>
      </c>
      <c r="C326" s="126" t="s">
        <v>118</v>
      </c>
      <c r="D326" s="127"/>
      <c r="E326" s="127"/>
      <c r="F326" s="127"/>
      <c r="G326" s="127" t="e">
        <f>500*1.2%+2500*0.9%+3000*0.75%+4000*0.6%+(H4-10000)*0.4%</f>
        <v>#REF!</v>
      </c>
      <c r="H326" s="40" t="e">
        <f t="shared" si="37"/>
        <v>#REF!</v>
      </c>
      <c r="I326" s="137" t="s">
        <v>1119</v>
      </c>
      <c r="J326" s="138"/>
      <c r="K326" s="138"/>
      <c r="L326" s="139"/>
    </row>
    <row r="327" ht="21.75" customHeight="1" spans="2:12">
      <c r="B327" s="25" t="s">
        <v>79</v>
      </c>
      <c r="C327" s="126" t="s">
        <v>1120</v>
      </c>
      <c r="D327" s="127"/>
      <c r="E327" s="127"/>
      <c r="F327" s="127"/>
      <c r="G327" s="127" t="e">
        <f ca="1">(25+(H335-100000)*0.00625%+15+(H335-100000)*0.0025%)*1.2</f>
        <v>#REF!</v>
      </c>
      <c r="H327" s="40" t="e">
        <f ca="1" t="shared" si="37"/>
        <v>#REF!</v>
      </c>
      <c r="I327" s="137" t="s">
        <v>1121</v>
      </c>
      <c r="J327" s="138"/>
      <c r="K327" s="138"/>
      <c r="L327" s="139"/>
    </row>
    <row r="328" ht="21.75" customHeight="1" spans="2:12">
      <c r="B328" s="25" t="s">
        <v>81</v>
      </c>
      <c r="C328" s="126" t="s">
        <v>120</v>
      </c>
      <c r="D328" s="127"/>
      <c r="E328" s="127"/>
      <c r="F328" s="127"/>
      <c r="G328" s="127" t="e">
        <f>H4*0.07%</f>
        <v>#REF!</v>
      </c>
      <c r="H328" s="40" t="e">
        <f t="shared" si="37"/>
        <v>#REF!</v>
      </c>
      <c r="I328" s="137" t="s">
        <v>121</v>
      </c>
      <c r="J328" s="138"/>
      <c r="K328" s="138"/>
      <c r="L328" s="139"/>
    </row>
    <row r="329" ht="21.75" customHeight="1" spans="2:12">
      <c r="B329" s="25" t="s">
        <v>83</v>
      </c>
      <c r="C329" s="126" t="s">
        <v>124</v>
      </c>
      <c r="D329" s="127"/>
      <c r="E329" s="127"/>
      <c r="F329" s="127"/>
      <c r="G329" s="127" t="e">
        <f>(132+(D4+F4-80000)/10000*24+350+0.7*35+66+0.7*8+4+0.7*0.8)/2-0.075-0.355</f>
        <v>#REF!</v>
      </c>
      <c r="H329" s="40" t="e">
        <f t="shared" si="37"/>
        <v>#REF!</v>
      </c>
      <c r="I329" s="137" t="s">
        <v>1122</v>
      </c>
      <c r="J329" s="138"/>
      <c r="K329" s="138"/>
      <c r="L329" s="139"/>
    </row>
    <row r="330" ht="21.75" customHeight="1" spans="2:12">
      <c r="B330" s="25" t="s">
        <v>85</v>
      </c>
      <c r="C330" s="126" t="s">
        <v>1264</v>
      </c>
      <c r="D330" s="127"/>
      <c r="E330" s="127"/>
      <c r="F330" s="127"/>
      <c r="G330" s="127">
        <v>180</v>
      </c>
      <c r="H330" s="40">
        <f t="shared" si="37"/>
        <v>180</v>
      </c>
      <c r="I330" s="164" t="s">
        <v>125</v>
      </c>
      <c r="J330" s="165"/>
      <c r="K330" s="165"/>
      <c r="L330" s="166"/>
    </row>
    <row r="331" ht="21.75" customHeight="1" spans="2:12">
      <c r="B331" s="143" t="s">
        <v>134</v>
      </c>
      <c r="C331" s="144" t="s">
        <v>1123</v>
      </c>
      <c r="D331" s="145"/>
      <c r="E331" s="145"/>
      <c r="F331" s="145"/>
      <c r="G331" s="146" t="e">
        <f ca="1">(H4+H305)*8%</f>
        <v>#REF!</v>
      </c>
      <c r="H331" s="146" t="e">
        <f ca="1">G331</f>
        <v>#REF!</v>
      </c>
      <c r="I331" s="138"/>
      <c r="J331" s="138"/>
      <c r="K331" s="138"/>
      <c r="L331" s="139"/>
    </row>
    <row r="332" ht="21.75" customHeight="1" spans="2:12">
      <c r="B332" s="143" t="s">
        <v>136</v>
      </c>
      <c r="C332" s="144" t="s">
        <v>137</v>
      </c>
      <c r="D332" s="145"/>
      <c r="E332" s="145"/>
      <c r="F332" s="145"/>
      <c r="G332" s="145"/>
      <c r="H332" s="146" t="e">
        <f ca="1">H4+H305+H331</f>
        <v>#REF!</v>
      </c>
      <c r="I332" s="138"/>
      <c r="J332" s="138"/>
      <c r="K332" s="138"/>
      <c r="L332" s="139"/>
    </row>
    <row r="333" ht="21.75" customHeight="1" spans="2:12">
      <c r="B333" s="143" t="s">
        <v>138</v>
      </c>
      <c r="C333" s="144" t="s">
        <v>139</v>
      </c>
      <c r="D333" s="145"/>
      <c r="E333" s="145"/>
      <c r="F333" s="145"/>
      <c r="G333" s="146" t="e">
        <f ca="1">H332*0.5*0.7*4.9%*0.5+(H332*0.5*0.7*4.9%*0.5+H332*0.7*0.5+H332*0.7*0.5*0.5)*4.9%</f>
        <v>#REF!</v>
      </c>
      <c r="H333" s="146" t="e">
        <f ca="1">G333</f>
        <v>#REF!</v>
      </c>
      <c r="I333" s="138"/>
      <c r="J333" s="138"/>
      <c r="K333" s="138"/>
      <c r="L333" s="139"/>
    </row>
    <row r="334" ht="21.75" customHeight="1" spans="2:12">
      <c r="B334" s="147" t="s">
        <v>140</v>
      </c>
      <c r="C334" s="148" t="s">
        <v>141</v>
      </c>
      <c r="D334" s="149"/>
      <c r="E334" s="149"/>
      <c r="F334" s="149"/>
      <c r="G334" s="136">
        <v>258.94</v>
      </c>
      <c r="H334" s="146">
        <f>G334</f>
        <v>258.94</v>
      </c>
      <c r="I334" s="138"/>
      <c r="J334" s="138"/>
      <c r="K334" s="138"/>
      <c r="L334" s="139"/>
    </row>
    <row r="335" ht="21.75" customHeight="1" spans="2:12">
      <c r="B335" s="150" t="s">
        <v>142</v>
      </c>
      <c r="C335" s="151" t="s">
        <v>143</v>
      </c>
      <c r="D335" s="152"/>
      <c r="E335" s="152"/>
      <c r="F335" s="152"/>
      <c r="G335" s="152"/>
      <c r="H335" s="152" t="e">
        <f ca="1">H332+H333+H334</f>
        <v>#REF!</v>
      </c>
      <c r="I335" s="152"/>
      <c r="J335" s="152"/>
      <c r="K335" s="152"/>
      <c r="L335" s="167"/>
    </row>
    <row r="336" ht="65.25" customHeight="1" spans="2:12">
      <c r="B336" s="153" t="s">
        <v>1124</v>
      </c>
      <c r="C336" s="154"/>
      <c r="D336" s="154"/>
      <c r="E336" s="154"/>
      <c r="F336" s="154"/>
      <c r="G336" s="155"/>
      <c r="H336" s="154"/>
      <c r="I336" s="154"/>
      <c r="J336" s="154"/>
      <c r="K336" s="154"/>
      <c r="L336" s="154"/>
    </row>
    <row r="337" s="15" customFormat="1" customHeight="1" spans="2:12">
      <c r="B337" s="14"/>
      <c r="C337" s="156"/>
      <c r="D337" s="16"/>
      <c r="E337" s="16"/>
      <c r="F337" s="16"/>
      <c r="H337" s="157">
        <v>171683.103761479</v>
      </c>
      <c r="I337" s="16" t="e">
        <f ca="1">H335/H4</f>
        <v>#REF!</v>
      </c>
      <c r="K337" s="16"/>
      <c r="L337" s="16"/>
    </row>
    <row r="339" customHeight="1" spans="8:8">
      <c r="H339" s="15" t="e">
        <f ca="1">H335-H337</f>
        <v>#REF!</v>
      </c>
    </row>
    <row r="340" customHeight="1" spans="8:8">
      <c r="H340" s="157"/>
    </row>
    <row r="341" customHeight="1" spans="7:8">
      <c r="G341" s="15" t="e">
        <f ca="1">H335/H4</f>
        <v>#REF!</v>
      </c>
      <c r="H341" s="158" t="s">
        <v>1265</v>
      </c>
    </row>
    <row r="342" customHeight="1" spans="8:9">
      <c r="H342" s="159" t="s">
        <v>15</v>
      </c>
      <c r="I342" s="168" t="s">
        <v>1126</v>
      </c>
    </row>
    <row r="343" s="15" customFormat="1" customHeight="1" spans="2:12">
      <c r="B343" s="14"/>
      <c r="C343" s="17"/>
      <c r="D343" s="16"/>
      <c r="E343" s="16"/>
      <c r="F343" s="16"/>
      <c r="G343" s="160" t="s">
        <v>1266</v>
      </c>
      <c r="H343" s="157">
        <f>SUM(H109:H151)</f>
        <v>19889.2594</v>
      </c>
      <c r="I343" s="157" t="e">
        <f ca="1">H343*$G$341</f>
        <v>#REF!</v>
      </c>
      <c r="K343" s="16"/>
      <c r="L343" s="16"/>
    </row>
    <row r="344" customHeight="1" spans="7:9">
      <c r="G344" s="160" t="s">
        <v>1267</v>
      </c>
      <c r="H344" s="157">
        <f>SUM(H152:H191)</f>
        <v>11695.9517</v>
      </c>
      <c r="I344" s="157" t="e">
        <f ca="1" t="shared" ref="I344:I349" si="38">H344*$G$341</f>
        <v>#REF!</v>
      </c>
    </row>
    <row r="345" customHeight="1" spans="7:9">
      <c r="G345" s="160" t="s">
        <v>1268</v>
      </c>
      <c r="H345" s="157">
        <f>SUM(H192:H209)</f>
        <v>3554.984</v>
      </c>
      <c r="I345" s="157" t="e">
        <f ca="1" t="shared" si="38"/>
        <v>#REF!</v>
      </c>
    </row>
    <row r="346" customHeight="1" spans="7:9">
      <c r="G346" s="161" t="s">
        <v>1269</v>
      </c>
      <c r="H346" s="157">
        <f>SUM(H210:H251)</f>
        <v>25485.75</v>
      </c>
      <c r="I346" s="157" t="e">
        <f ca="1" t="shared" si="38"/>
        <v>#REF!</v>
      </c>
    </row>
    <row r="347" customHeight="1" spans="7:9">
      <c r="G347" s="161" t="s">
        <v>1270</v>
      </c>
      <c r="H347" s="157">
        <f>SUM(H252:H289)</f>
        <v>23994.93</v>
      </c>
      <c r="I347" s="157" t="e">
        <f ca="1" t="shared" si="38"/>
        <v>#REF!</v>
      </c>
    </row>
    <row r="348" customHeight="1" spans="7:9">
      <c r="G348" s="160" t="s">
        <v>1061</v>
      </c>
      <c r="H348" s="157" t="e">
        <f>SUM(H290:H297)</f>
        <v>#REF!</v>
      </c>
      <c r="I348" s="157" t="e">
        <f ca="1" t="shared" si="38"/>
        <v>#REF!</v>
      </c>
    </row>
    <row r="349" customHeight="1" spans="7:9">
      <c r="G349" s="160" t="s">
        <v>1129</v>
      </c>
      <c r="H349" s="157" t="e">
        <f>SUM(H298:H304)</f>
        <v>#REF!</v>
      </c>
      <c r="I349" s="157" t="e">
        <f ca="1" t="shared" si="38"/>
        <v>#REF!</v>
      </c>
    </row>
    <row r="350" customHeight="1" spans="9:9">
      <c r="I350" s="157" t="e">
        <f ca="1">SUM(I343:I349)</f>
        <v>#REF!</v>
      </c>
    </row>
  </sheetData>
  <autoFilter ref="C1:C337">
    <extLst/>
  </autoFilter>
  <mergeCells count="37">
    <mergeCell ref="B1:L1"/>
    <mergeCell ref="D2:H2"/>
    <mergeCell ref="I308:L308"/>
    <mergeCell ref="I309:L309"/>
    <mergeCell ref="I310:L310"/>
    <mergeCell ref="I311:L311"/>
    <mergeCell ref="I312:L312"/>
    <mergeCell ref="I313:L313"/>
    <mergeCell ref="I314:L314"/>
    <mergeCell ref="I315:L315"/>
    <mergeCell ref="I316:L316"/>
    <mergeCell ref="I317:L317"/>
    <mergeCell ref="I318:L318"/>
    <mergeCell ref="I319:L319"/>
    <mergeCell ref="I320:L320"/>
    <mergeCell ref="I321:L321"/>
    <mergeCell ref="I322:L322"/>
    <mergeCell ref="I323:L323"/>
    <mergeCell ref="I324:L324"/>
    <mergeCell ref="I325:L325"/>
    <mergeCell ref="I326:L326"/>
    <mergeCell ref="I327:L327"/>
    <mergeCell ref="I328:L328"/>
    <mergeCell ref="I329:L329"/>
    <mergeCell ref="I330:L330"/>
    <mergeCell ref="I331:L331"/>
    <mergeCell ref="I332:L332"/>
    <mergeCell ref="I333:L333"/>
    <mergeCell ref="I334:L334"/>
    <mergeCell ref="I335:L335"/>
    <mergeCell ref="B336:L336"/>
    <mergeCell ref="B2:B3"/>
    <mergeCell ref="C2:C3"/>
    <mergeCell ref="I2:I3"/>
    <mergeCell ref="J2:J3"/>
    <mergeCell ref="K2:K3"/>
    <mergeCell ref="L2:L3"/>
  </mergeCells>
  <conditionalFormatting sqref="K12:K13">
    <cfRule type="cellIs" dxfId="0" priority="4" stopIfTrue="1" operator="lessThan">
      <formula>0</formula>
    </cfRule>
  </conditionalFormatting>
  <conditionalFormatting sqref="K16:K27">
    <cfRule type="cellIs" dxfId="0" priority="3" stopIfTrue="1" operator="lessThan">
      <formula>0</formula>
    </cfRule>
  </conditionalFormatting>
  <conditionalFormatting sqref="K66:K67">
    <cfRule type="cellIs" dxfId="0" priority="2" stopIfTrue="1" operator="lessThan">
      <formula>0</formula>
    </cfRule>
  </conditionalFormatting>
  <conditionalFormatting sqref="K70:K82">
    <cfRule type="cellIs" dxfId="0" priority="1" stopIfTrue="1" operator="lessThan">
      <formula>0</formula>
    </cfRule>
  </conditionalFormatting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7"/>
  <sheetViews>
    <sheetView workbookViewId="0">
      <selection activeCell="E14" sqref="E14"/>
    </sheetView>
  </sheetViews>
  <sheetFormatPr defaultColWidth="9" defaultRowHeight="13.5" outlineLevelRow="6" outlineLevelCol="4"/>
  <cols>
    <col min="1" max="5" width="20.625" customWidth="1"/>
  </cols>
  <sheetData>
    <row r="2" ht="30.75" customHeight="1" spans="1:5">
      <c r="A2" s="1" t="s">
        <v>1271</v>
      </c>
      <c r="B2" s="2"/>
      <c r="C2" s="2"/>
      <c r="D2" s="2"/>
      <c r="E2" s="2"/>
    </row>
    <row r="3" ht="27.75" customHeight="1" spans="1:5">
      <c r="A3" s="3" t="s">
        <v>1272</v>
      </c>
      <c r="B3" s="4" t="s">
        <v>1273</v>
      </c>
      <c r="C3" s="4" t="s">
        <v>1274</v>
      </c>
      <c r="D3" s="4" t="s">
        <v>1275</v>
      </c>
      <c r="E3" s="5" t="s">
        <v>1276</v>
      </c>
    </row>
    <row r="4" ht="27.75" customHeight="1" spans="1:5">
      <c r="A4" s="6" t="s">
        <v>1277</v>
      </c>
      <c r="B4" s="7" t="e">
        <f>近期投资汇总表!#REF!</f>
        <v>#REF!</v>
      </c>
      <c r="C4" s="7" t="e">
        <f>近期投资汇总表!#REF!</f>
        <v>#REF!</v>
      </c>
      <c r="D4" s="7" t="e">
        <f>#REF!</f>
        <v>#REF!</v>
      </c>
      <c r="E4" s="8" t="e">
        <f>SUM(B4:D4)</f>
        <v>#REF!</v>
      </c>
    </row>
    <row r="5" ht="27.75" customHeight="1" spans="1:5">
      <c r="A5" s="6" t="s">
        <v>1278</v>
      </c>
      <c r="B5" s="7" t="e">
        <f>B4*0.2</f>
        <v>#REF!</v>
      </c>
      <c r="C5" s="7" t="e">
        <f t="shared" ref="C5:E5" si="0">C4*0.2</f>
        <v>#REF!</v>
      </c>
      <c r="D5" s="7" t="e">
        <f t="shared" si="0"/>
        <v>#REF!</v>
      </c>
      <c r="E5" s="8" t="e">
        <f t="shared" si="0"/>
        <v>#REF!</v>
      </c>
    </row>
    <row r="6" ht="27.75" customHeight="1" spans="1:5">
      <c r="A6" s="6" t="s">
        <v>1279</v>
      </c>
      <c r="B6" s="7">
        <f>近期投资汇总表!G41</f>
        <v>1570.6809</v>
      </c>
      <c r="C6" s="7"/>
      <c r="D6" s="7"/>
      <c r="E6" s="8">
        <f>[1]近期投资汇总表!G243</f>
        <v>722.25</v>
      </c>
    </row>
    <row r="7" ht="27.75" customHeight="1" spans="1:5">
      <c r="A7" s="9" t="s">
        <v>1126</v>
      </c>
      <c r="B7" s="10" t="e">
        <f>SUM(B4:B6)</f>
        <v>#REF!</v>
      </c>
      <c r="C7" s="10" t="e">
        <f t="shared" ref="C7:E7" si="1">SUM(C4:C6)</f>
        <v>#REF!</v>
      </c>
      <c r="D7" s="10" t="e">
        <f t="shared" si="1"/>
        <v>#REF!</v>
      </c>
      <c r="E7" s="11" t="e">
        <f t="shared" si="1"/>
        <v>#REF!</v>
      </c>
    </row>
  </sheetData>
  <mergeCells count="1">
    <mergeCell ref="A2:E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近期投资汇总表</vt:lpstr>
      <vt:lpstr>花湖一期一阶段设备表</vt:lpstr>
      <vt:lpstr>投资估算表-一期工程 (2)</vt:lpstr>
      <vt:lpstr>投资估算表-二期工程 (2)</vt:lpstr>
      <vt:lpstr>花湖污水厂金额汇总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张春影</dc:creator>
  <cp:lastModifiedBy>Administrator</cp:lastModifiedBy>
  <dcterms:created xsi:type="dcterms:W3CDTF">2017-03-09T06:17:00Z</dcterms:created>
  <cp:lastPrinted>2019-10-17T08:27:00Z</cp:lastPrinted>
  <dcterms:modified xsi:type="dcterms:W3CDTF">2020-01-22T06:34:14Z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